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7.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mc:AlternateContent xmlns:mc="http://schemas.openxmlformats.org/markup-compatibility/2006">
    <mc:Choice Requires="x15">
      <x15ac:absPath xmlns:x15ac="http://schemas.microsoft.com/office/spreadsheetml/2010/11/ac" url="https://hexagoncomposites.sharepoint.com/sites/HexagonSourceDocs1/Library_Agility/"/>
    </mc:Choice>
  </mc:AlternateContent>
  <xr:revisionPtr revIDLastSave="0" documentId="13_ncr:1_{69C1A134-E64F-43BB-9221-646E93AEE3C7}" xr6:coauthVersionLast="47" xr6:coauthVersionMax="47" xr10:uidLastSave="{00000000-0000-0000-0000-000000000000}"/>
  <bookViews>
    <workbookView xWindow="28680" yWindow="-120" windowWidth="29040" windowHeight="15720" tabRatio="896" xr2:uid="{00000000-000D-0000-FFFF-FFFF00000000}"/>
  </bookViews>
  <sheets>
    <sheet name="Header Info" sheetId="90" r:id="rId1"/>
    <sheet name="PPAP Requirements" sheetId="114" r:id="rId2"/>
    <sheet name="Submission Ref Guide" sheetId="89" r:id="rId3"/>
    <sheet name="Truck PSW" sheetId="91" r:id="rId4"/>
    <sheet name="1.  Design Records" sheetId="93" r:id="rId5"/>
    <sheet name="2.  Auth Eng Change Docs" sheetId="112" r:id="rId6"/>
    <sheet name="3. Agility Eng Approval" sheetId="111" r:id="rId7"/>
    <sheet name="4. DFMEA" sheetId="97" r:id="rId8"/>
    <sheet name="4. DFMEA Ranking" sheetId="98" r:id="rId9"/>
    <sheet name="5. Process Flow" sheetId="99" r:id="rId10"/>
    <sheet name="6. PFMEA" sheetId="100" r:id="rId11"/>
    <sheet name="6. PFMEA Ranking" sheetId="101" r:id="rId12"/>
    <sheet name="7. Control Plan" sheetId="102" r:id="rId13"/>
    <sheet name="8. GR&amp;R Summary" sheetId="103" r:id="rId14"/>
    <sheet name="8A. ATT BIAS(Analytic)" sheetId="104" r:id="rId15"/>
    <sheet name="8A. Graph" sheetId="105" r:id="rId16"/>
    <sheet name="8B. GR&amp;R ATT(Hyp)" sheetId="107" r:id="rId17"/>
    <sheet name="8C. GR&amp;R VAR(TV)" sheetId="110" r:id="rId18"/>
    <sheet name="8D. GR&amp;R VAR(Tol)" sheetId="40" r:id="rId19"/>
    <sheet name="8E. GR&amp;R ANOVA" sheetId="109" r:id="rId20"/>
    <sheet name="8E. GR&amp;R Graphical" sheetId="42" r:id="rId21"/>
    <sheet name="8F. GR&amp;R X&amp;R " sheetId="43" r:id="rId22"/>
    <sheet name="8G. Gage R" sheetId="44" r:id="rId23"/>
    <sheet name="9. Dimensional Results" sheetId="31" r:id="rId24"/>
    <sheet name="10-1. Material Test Results" sheetId="32" r:id="rId25"/>
    <sheet name="10-2. Performance Test Results" sheetId="33" r:id="rId26"/>
    <sheet name="11. Initial Process Studies" sheetId="82" r:id="rId27"/>
    <sheet name="12.  Qualified Lab" sheetId="84" r:id="rId28"/>
    <sheet name="13. Appearance Approval" sheetId="85" r:id="rId29"/>
    <sheet name="14. Sample Production Parts" sheetId="73" r:id="rId30"/>
    <sheet name="15.  Master Samples" sheetId="86" r:id="rId31"/>
    <sheet name="16. Checking Aids" sheetId="87" r:id="rId32"/>
    <sheet name="17. Customer Specific Req" sheetId="88" r:id="rId33"/>
    <sheet name="FILE REV" sheetId="72" r:id="rId34"/>
    <sheet name="AIAG REF REV" sheetId="2" r:id="rId35"/>
    <sheet name="BM REQ" sheetId="51" r:id="rId36"/>
    <sheet name="BM INT" sheetId="52" r:id="rId37"/>
    <sheet name="Module1" sheetId="56" state="veryHidden" r:id="rId38"/>
  </sheets>
  <externalReferences>
    <externalReference r:id="rId39"/>
    <externalReference r:id="rId40"/>
  </externalReferences>
  <definedNames>
    <definedName name="_xlnm.Print_Area" localSheetId="28">'13. Appearance Approval'!$A$1:$Y$37</definedName>
    <definedName name="_xlnm.Print_Area" localSheetId="14">'8A. ATT BIAS(Analytic)'!$A$1:$AD$49</definedName>
    <definedName name="_xlnm.Print_Area" localSheetId="16">'8B. GR&amp;R ATT(Hyp)'!$A$1:$M$245</definedName>
    <definedName name="_xlnm.Print_Area" localSheetId="19">'8E. GR&amp;R ANOVA'!$A$1:$N$81</definedName>
    <definedName name="_xlnm.Print_Area" localSheetId="20">'8E. GR&amp;R Graphical'!$A$1:$N$461</definedName>
    <definedName name="_xlnm.Print_Area" localSheetId="21">'8F. GR&amp;R X&amp;R '!$A$1:$AF$114</definedName>
    <definedName name="_xlnm.Print_Area" localSheetId="22">'8G. Gage R'!$A$1:$AA$56</definedName>
    <definedName name="_xlnm.Print_Area" localSheetId="0">'Header Info'!$A$1:$C$22</definedName>
    <definedName name="_xlnm.Print_Area" localSheetId="1">'PPAP Requirements'!$A$1:$S$34</definedName>
    <definedName name="_xlnm.Print_Area" localSheetId="2">'Submission Ref Guide'!$B$1:$E$22</definedName>
    <definedName name="_xlnm.Print_Area" localSheetId="3">'Truck PSW'!$A$1:$S$69</definedName>
    <definedName name="_xlnm.Print_Titles" localSheetId="24">'10-1. Material Test Results'!$2:$10</definedName>
    <definedName name="_xlnm.Print_Titles" localSheetId="25">'10-2. Performance Test Results'!$1:$10</definedName>
    <definedName name="_xlnm.Print_Titles" localSheetId="7">'4. DFMEA'!$1:$15</definedName>
    <definedName name="_xlnm.Print_Titles" localSheetId="9">'5. Process Flow'!$1:$6</definedName>
    <definedName name="_xlnm.Print_Titles" localSheetId="10">'6. PFMEA'!$1:$14</definedName>
    <definedName name="_xlnm.Print_Titles" localSheetId="12">'7. Control Plan'!$1:$15</definedName>
    <definedName name="_xlnm.Print_Titles" localSheetId="16">'8B. GR&amp;R ATT(Hyp)'!$1:$11</definedName>
    <definedName name="_xlnm.Print_Titles" localSheetId="19">'8E. GR&amp;R ANOVA'!$1:$11</definedName>
    <definedName name="_xlnm.Print_Titles" localSheetId="20">'8E. GR&amp;R Graphical'!$1:$12</definedName>
    <definedName name="_xlnm.Print_Titles" localSheetId="21">'8F. GR&amp;R X&amp;R '!$1:$7</definedName>
    <definedName name="_xlnm.Print_Titles" localSheetId="23">'9. Dimensional Results'!$1:$10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91" l="1"/>
  <c r="J12" i="114"/>
  <c r="M15" i="114"/>
  <c r="D15" i="114"/>
  <c r="B12" i="114"/>
  <c r="J9" i="114"/>
  <c r="B9" i="114"/>
  <c r="J6" i="114"/>
  <c r="H6" i="114"/>
  <c r="B6" i="114"/>
  <c r="Q2" i="114"/>
  <c r="M2" i="114"/>
  <c r="D2" i="114"/>
  <c r="E5" i="112"/>
  <c r="A5" i="112"/>
  <c r="Q5" i="91" l="1"/>
  <c r="L5" i="91"/>
  <c r="M49" i="107"/>
  <c r="O49" i="107"/>
  <c r="P49" i="107"/>
  <c r="Q49" i="107"/>
  <c r="S49" i="107"/>
  <c r="T49" i="107"/>
  <c r="U49" i="107"/>
  <c r="W49" i="107"/>
  <c r="X49" i="107"/>
  <c r="Y49" i="107"/>
  <c r="AA49" i="107"/>
  <c r="AB49" i="107"/>
  <c r="AC49" i="107"/>
  <c r="AE49" i="107"/>
  <c r="AF49" i="107"/>
  <c r="AG49" i="107"/>
  <c r="AI49" i="107"/>
  <c r="AJ49" i="107"/>
  <c r="AK49" i="107"/>
  <c r="M50" i="107"/>
  <c r="O50" i="107"/>
  <c r="P50" i="107"/>
  <c r="Q50" i="107"/>
  <c r="S50" i="107"/>
  <c r="T50" i="107"/>
  <c r="U50" i="107"/>
  <c r="W50" i="107"/>
  <c r="X50" i="107"/>
  <c r="Y50" i="107"/>
  <c r="AA50" i="107"/>
  <c r="AB50" i="107"/>
  <c r="AC50" i="107"/>
  <c r="AE50" i="107"/>
  <c r="AF50" i="107"/>
  <c r="AG50" i="107"/>
  <c r="AI50" i="107"/>
  <c r="AJ50" i="107"/>
  <c r="AK50" i="107"/>
  <c r="A7" i="104"/>
  <c r="W7" i="52"/>
  <c r="Q6" i="52"/>
  <c r="R5" i="52"/>
  <c r="F6" i="52"/>
  <c r="F5" i="52"/>
  <c r="E4" i="72"/>
  <c r="A4" i="72"/>
  <c r="D24" i="73"/>
  <c r="D23" i="73"/>
  <c r="D22" i="73"/>
  <c r="D21" i="73"/>
  <c r="D16" i="73"/>
  <c r="D15" i="73"/>
  <c r="D14" i="73"/>
  <c r="D13" i="73"/>
  <c r="Q7" i="85"/>
  <c r="O6" i="85"/>
  <c r="F6" i="85"/>
  <c r="P5" i="85"/>
  <c r="F5" i="85"/>
  <c r="P6" i="33"/>
  <c r="N5" i="33"/>
  <c r="O4" i="33"/>
  <c r="D5" i="33"/>
  <c r="D4" i="33"/>
  <c r="O6" i="32"/>
  <c r="L5" i="32"/>
  <c r="M4" i="32"/>
  <c r="D5" i="32"/>
  <c r="D4" i="32"/>
  <c r="Q6" i="31"/>
  <c r="N5" i="31"/>
  <c r="N4" i="31"/>
  <c r="D5" i="31"/>
  <c r="D4" i="31"/>
  <c r="A5" i="44"/>
  <c r="A3" i="44"/>
  <c r="A4" i="43"/>
  <c r="A2" i="43"/>
  <c r="A7" i="42"/>
  <c r="A5" i="42"/>
  <c r="A7" i="109"/>
  <c r="A5" i="109"/>
  <c r="A7" i="110"/>
  <c r="O7" i="110" s="1"/>
  <c r="A5" i="110"/>
  <c r="O5" i="110" s="1"/>
  <c r="A8" i="107"/>
  <c r="A6" i="107"/>
  <c r="A5" i="104"/>
  <c r="X35" i="110"/>
  <c r="V36" i="110" s="1"/>
  <c r="Q35" i="110"/>
  <c r="X34" i="110"/>
  <c r="Q34" i="110"/>
  <c r="N34" i="110"/>
  <c r="J34" i="110"/>
  <c r="I34" i="110"/>
  <c r="H34" i="110"/>
  <c r="G34" i="110"/>
  <c r="E34" i="110"/>
  <c r="N33" i="110"/>
  <c r="N32" i="110"/>
  <c r="X31" i="110"/>
  <c r="Q31" i="110"/>
  <c r="N31" i="110"/>
  <c r="X30" i="110"/>
  <c r="Q30" i="110"/>
  <c r="N30" i="110"/>
  <c r="L29" i="110"/>
  <c r="K29" i="110"/>
  <c r="J29" i="110"/>
  <c r="I29" i="110"/>
  <c r="H29" i="110"/>
  <c r="G29" i="110"/>
  <c r="F29" i="110"/>
  <c r="E29" i="110"/>
  <c r="D29" i="110"/>
  <c r="C29" i="110"/>
  <c r="N29" i="110"/>
  <c r="L28" i="110"/>
  <c r="K28" i="110"/>
  <c r="J28" i="110"/>
  <c r="I28" i="110"/>
  <c r="H28" i="110"/>
  <c r="G28" i="110"/>
  <c r="F28" i="110"/>
  <c r="E28" i="110"/>
  <c r="D28" i="110"/>
  <c r="C28" i="110"/>
  <c r="N28" i="110"/>
  <c r="V27" i="110"/>
  <c r="Q27" i="110"/>
  <c r="N27" i="110"/>
  <c r="A27" i="110"/>
  <c r="A28" i="110"/>
  <c r="A29" i="110" s="1"/>
  <c r="A32" i="110" s="1"/>
  <c r="A33" i="110" s="1"/>
  <c r="A34" i="110" s="1"/>
  <c r="X26" i="110"/>
  <c r="Q26" i="110"/>
  <c r="N26" i="110"/>
  <c r="X25" i="110"/>
  <c r="N25" i="110"/>
  <c r="L24" i="110"/>
  <c r="K24" i="110"/>
  <c r="J24" i="110"/>
  <c r="I24" i="110"/>
  <c r="H24" i="110"/>
  <c r="G24" i="110"/>
  <c r="F24" i="110"/>
  <c r="E24" i="110"/>
  <c r="D24" i="110"/>
  <c r="C24" i="110"/>
  <c r="N24" i="110" s="1"/>
  <c r="N23" i="110"/>
  <c r="L23" i="110"/>
  <c r="K23" i="110"/>
  <c r="J23" i="110"/>
  <c r="I23" i="110"/>
  <c r="H23" i="110"/>
  <c r="G23" i="110"/>
  <c r="F23" i="110"/>
  <c r="E23" i="110"/>
  <c r="D23" i="110"/>
  <c r="C23" i="110"/>
  <c r="N22" i="110"/>
  <c r="A22" i="110"/>
  <c r="A23" i="110"/>
  <c r="A24" i="110"/>
  <c r="X21" i="110"/>
  <c r="Q21" i="110"/>
  <c r="N21" i="110"/>
  <c r="X20" i="110"/>
  <c r="Q20" i="110"/>
  <c r="N20" i="110"/>
  <c r="L19" i="110"/>
  <c r="K19" i="110"/>
  <c r="J19" i="110"/>
  <c r="I19" i="110"/>
  <c r="H19" i="110"/>
  <c r="G19" i="110"/>
  <c r="F19" i="110"/>
  <c r="E19" i="110"/>
  <c r="D19" i="110"/>
  <c r="C19" i="110"/>
  <c r="N19" i="110" s="1"/>
  <c r="L18" i="110"/>
  <c r="L31" i="110" s="1"/>
  <c r="K18" i="110"/>
  <c r="K31" i="110" s="1"/>
  <c r="J18" i="110"/>
  <c r="J31" i="110"/>
  <c r="I18" i="110"/>
  <c r="I31" i="110"/>
  <c r="H18" i="110"/>
  <c r="H31" i="110" s="1"/>
  <c r="G18" i="110"/>
  <c r="G31" i="110" s="1"/>
  <c r="F18" i="110"/>
  <c r="F31" i="110"/>
  <c r="E18" i="110"/>
  <c r="E31" i="110"/>
  <c r="D18" i="110"/>
  <c r="D31" i="110" s="1"/>
  <c r="C18" i="110"/>
  <c r="N18" i="110" s="1"/>
  <c r="X17" i="110"/>
  <c r="Q17" i="110"/>
  <c r="N17" i="110"/>
  <c r="A17" i="110"/>
  <c r="A18" i="110" s="1"/>
  <c r="A19" i="110" s="1"/>
  <c r="X16" i="110"/>
  <c r="Q16" i="110"/>
  <c r="N16" i="110"/>
  <c r="N15" i="110"/>
  <c r="F12" i="110"/>
  <c r="E12" i="110"/>
  <c r="X11" i="110"/>
  <c r="O11" i="110"/>
  <c r="J11" i="110"/>
  <c r="V11" i="110" s="1"/>
  <c r="H11" i="110"/>
  <c r="T11" i="110"/>
  <c r="F11" i="110"/>
  <c r="R11" i="110"/>
  <c r="V9" i="110"/>
  <c r="R9" i="110"/>
  <c r="O9" i="110"/>
  <c r="V7" i="110"/>
  <c r="R7" i="110"/>
  <c r="V5" i="110"/>
  <c r="R5" i="110"/>
  <c r="D69" i="109"/>
  <c r="W44" i="109"/>
  <c r="X44" i="109" s="1"/>
  <c r="Y44" i="109" s="1"/>
  <c r="W43" i="109"/>
  <c r="X43" i="109" s="1"/>
  <c r="Y43" i="109" s="1"/>
  <c r="W42" i="109"/>
  <c r="X42" i="109"/>
  <c r="Y42" i="109" s="1"/>
  <c r="W41" i="109"/>
  <c r="X41" i="109"/>
  <c r="W40" i="109"/>
  <c r="X40" i="109"/>
  <c r="G40" i="109"/>
  <c r="W39" i="109"/>
  <c r="X39" i="109" s="1"/>
  <c r="G39" i="109"/>
  <c r="I39" i="109"/>
  <c r="K38" i="109" s="1"/>
  <c r="M38" i="109" s="1"/>
  <c r="W38" i="109"/>
  <c r="X38" i="109"/>
  <c r="G38" i="109"/>
  <c r="I38" i="109" s="1"/>
  <c r="R55" i="109" s="1"/>
  <c r="W37" i="109"/>
  <c r="X37" i="109" s="1"/>
  <c r="Y37" i="109" s="1"/>
  <c r="G37" i="109"/>
  <c r="I37" i="109"/>
  <c r="W36" i="109"/>
  <c r="X36" i="109" s="1"/>
  <c r="Y36" i="109" s="1"/>
  <c r="G36" i="109"/>
  <c r="I36" i="109"/>
  <c r="W35" i="109"/>
  <c r="X35" i="109"/>
  <c r="W34" i="109"/>
  <c r="X34" i="109" s="1"/>
  <c r="Y34" i="109" s="1"/>
  <c r="W33" i="109"/>
  <c r="X33" i="109"/>
  <c r="X32" i="109"/>
  <c r="W32" i="109"/>
  <c r="W31" i="109"/>
  <c r="X31" i="109"/>
  <c r="Y31" i="109" s="1"/>
  <c r="Q31" i="109"/>
  <c r="R31" i="109"/>
  <c r="N31" i="109"/>
  <c r="W30" i="109"/>
  <c r="X30" i="109" s="1"/>
  <c r="Y30" i="109" s="1"/>
  <c r="Q30" i="109"/>
  <c r="R30" i="109" s="1"/>
  <c r="N30" i="109"/>
  <c r="X29" i="109"/>
  <c r="Y29" i="109" s="1"/>
  <c r="W29" i="109"/>
  <c r="Q29" i="109"/>
  <c r="R29" i="109" s="1"/>
  <c r="L29" i="109"/>
  <c r="K29" i="109"/>
  <c r="J29" i="109"/>
  <c r="I29" i="109"/>
  <c r="H29" i="109"/>
  <c r="G29" i="109"/>
  <c r="F29" i="109"/>
  <c r="E29" i="109"/>
  <c r="D29" i="109"/>
  <c r="C29" i="109"/>
  <c r="N29" i="109"/>
  <c r="W28" i="109"/>
  <c r="X28" i="109" s="1"/>
  <c r="Y28" i="109" s="1"/>
  <c r="Q28" i="109"/>
  <c r="R28" i="109"/>
  <c r="L28" i="109"/>
  <c r="K28" i="109"/>
  <c r="J28" i="109"/>
  <c r="I28" i="109"/>
  <c r="H28" i="109"/>
  <c r="G28" i="109"/>
  <c r="F28" i="109"/>
  <c r="E28" i="109"/>
  <c r="D28" i="109"/>
  <c r="C28" i="109"/>
  <c r="N28" i="109"/>
  <c r="W27" i="109"/>
  <c r="X27" i="109" s="1"/>
  <c r="Y27" i="109" s="1"/>
  <c r="Q27" i="109"/>
  <c r="R27" i="109"/>
  <c r="N27" i="109"/>
  <c r="A27" i="109"/>
  <c r="A28" i="109" s="1"/>
  <c r="A29" i="109" s="1"/>
  <c r="X26" i="109"/>
  <c r="Y26" i="109" s="1"/>
  <c r="W26" i="109"/>
  <c r="Q26" i="109"/>
  <c r="R26" i="109" s="1"/>
  <c r="N26" i="109"/>
  <c r="W25" i="109"/>
  <c r="X25" i="109" s="1"/>
  <c r="Y25" i="109" s="1"/>
  <c r="Q25" i="109"/>
  <c r="R25" i="109"/>
  <c r="N25" i="109"/>
  <c r="AK24" i="109"/>
  <c r="AJ24" i="109"/>
  <c r="AI24" i="109"/>
  <c r="AH24" i="109"/>
  <c r="AG24" i="109"/>
  <c r="AF24" i="109"/>
  <c r="AE24" i="109"/>
  <c r="AD24" i="109"/>
  <c r="AC24" i="109"/>
  <c r="AB24" i="109"/>
  <c r="W24" i="109"/>
  <c r="X24" i="109" s="1"/>
  <c r="Y24" i="109" s="1"/>
  <c r="Q24" i="109"/>
  <c r="R24" i="109"/>
  <c r="L24" i="109"/>
  <c r="K24" i="109"/>
  <c r="J24" i="109"/>
  <c r="I24" i="109"/>
  <c r="H24" i="109"/>
  <c r="G24" i="109"/>
  <c r="F24" i="109"/>
  <c r="E24" i="109"/>
  <c r="D24" i="109"/>
  <c r="C24" i="109"/>
  <c r="N24" i="109" s="1"/>
  <c r="AK23" i="109"/>
  <c r="AJ23" i="109"/>
  <c r="AI23" i="109"/>
  <c r="AH23" i="109"/>
  <c r="AG23" i="109"/>
  <c r="AF23" i="109"/>
  <c r="AE23" i="109"/>
  <c r="AD23" i="109"/>
  <c r="AC23" i="109"/>
  <c r="AB23" i="109"/>
  <c r="W23" i="109"/>
  <c r="X23" i="109" s="1"/>
  <c r="Y23" i="109" s="1"/>
  <c r="Q23" i="109"/>
  <c r="R23" i="109"/>
  <c r="L23" i="109"/>
  <c r="K23" i="109"/>
  <c r="J23" i="109"/>
  <c r="I23" i="109"/>
  <c r="H23" i="109"/>
  <c r="G23" i="109"/>
  <c r="F23" i="109"/>
  <c r="E23" i="109"/>
  <c r="D23" i="109"/>
  <c r="C23" i="109"/>
  <c r="N23" i="109" s="1"/>
  <c r="AK22" i="109"/>
  <c r="AJ22" i="109"/>
  <c r="AI22" i="109"/>
  <c r="AH22" i="109"/>
  <c r="AG22" i="109"/>
  <c r="AF22" i="109"/>
  <c r="AE22" i="109"/>
  <c r="AD22" i="109"/>
  <c r="AC22" i="109"/>
  <c r="AB22" i="109"/>
  <c r="X22" i="109"/>
  <c r="W22" i="109"/>
  <c r="Q22" i="109"/>
  <c r="R22" i="109"/>
  <c r="N22" i="109"/>
  <c r="A22" i="109"/>
  <c r="A23" i="109" s="1"/>
  <c r="A24" i="109" s="1"/>
  <c r="AK21" i="109"/>
  <c r="AJ21" i="109"/>
  <c r="AI21" i="109"/>
  <c r="AH21" i="109"/>
  <c r="AG21" i="109"/>
  <c r="AF21" i="109"/>
  <c r="AE21" i="109"/>
  <c r="AD21" i="109"/>
  <c r="AC21" i="109"/>
  <c r="AB21" i="109"/>
  <c r="W21" i="109"/>
  <c r="X21" i="109" s="1"/>
  <c r="Y21" i="109" s="1"/>
  <c r="N21" i="109"/>
  <c r="AK20" i="109"/>
  <c r="AJ20" i="109"/>
  <c r="AI20" i="109"/>
  <c r="AH20" i="109"/>
  <c r="AG20" i="109"/>
  <c r="AF20" i="109"/>
  <c r="AE20" i="109"/>
  <c r="AD20" i="109"/>
  <c r="AC20" i="109"/>
  <c r="AB20" i="109"/>
  <c r="W20" i="109"/>
  <c r="X20" i="109" s="1"/>
  <c r="Y20" i="109" s="1"/>
  <c r="N20" i="109"/>
  <c r="AK19" i="109"/>
  <c r="AJ19" i="109"/>
  <c r="AI19" i="109"/>
  <c r="AH19" i="109"/>
  <c r="AG19" i="109"/>
  <c r="AF19" i="109"/>
  <c r="AE19" i="109"/>
  <c r="AD19" i="109"/>
  <c r="AC19" i="109"/>
  <c r="AB19" i="109"/>
  <c r="X19" i="109"/>
  <c r="W19" i="109"/>
  <c r="L19" i="109"/>
  <c r="K19" i="109"/>
  <c r="J19" i="109"/>
  <c r="I19" i="109"/>
  <c r="H19" i="109"/>
  <c r="G19" i="109"/>
  <c r="F19" i="109"/>
  <c r="E19" i="109"/>
  <c r="D19" i="109"/>
  <c r="C19" i="109"/>
  <c r="N19" i="109" s="1"/>
  <c r="AK18" i="109"/>
  <c r="AJ18" i="109"/>
  <c r="AI18" i="109"/>
  <c r="AH18" i="109"/>
  <c r="AG18" i="109"/>
  <c r="AF18" i="109"/>
  <c r="AE18" i="109"/>
  <c r="AD18" i="109"/>
  <c r="AC18" i="109"/>
  <c r="AB18" i="109"/>
  <c r="W18" i="109"/>
  <c r="X18" i="109"/>
  <c r="Y18" i="109" s="1"/>
  <c r="L18" i="109"/>
  <c r="L31" i="109"/>
  <c r="K18" i="109"/>
  <c r="K31" i="109"/>
  <c r="J18" i="109"/>
  <c r="J31" i="109" s="1"/>
  <c r="I18" i="109"/>
  <c r="I31" i="109" s="1"/>
  <c r="H18" i="109"/>
  <c r="H31" i="109"/>
  <c r="G18" i="109"/>
  <c r="G31" i="109"/>
  <c r="F18" i="109"/>
  <c r="F31" i="109" s="1"/>
  <c r="E18" i="109"/>
  <c r="E31" i="109"/>
  <c r="D18" i="109"/>
  <c r="D31" i="109" s="1"/>
  <c r="C18" i="109"/>
  <c r="C31" i="109" s="1"/>
  <c r="AK17" i="109"/>
  <c r="AJ17" i="109"/>
  <c r="AI17" i="109"/>
  <c r="AH17" i="109"/>
  <c r="AG17" i="109"/>
  <c r="AF17" i="109"/>
  <c r="AE17" i="109"/>
  <c r="AD17" i="109"/>
  <c r="AC17" i="109"/>
  <c r="AB17" i="109"/>
  <c r="X17" i="109"/>
  <c r="W17" i="109"/>
  <c r="Q17" i="109"/>
  <c r="R17" i="109"/>
  <c r="N17" i="109"/>
  <c r="A17" i="109"/>
  <c r="A18" i="109"/>
  <c r="A19" i="109" s="1"/>
  <c r="AK16" i="109"/>
  <c r="AJ16" i="109"/>
  <c r="AI16" i="109"/>
  <c r="AH16" i="109"/>
  <c r="AG16" i="109"/>
  <c r="AF16" i="109"/>
  <c r="AE16" i="109"/>
  <c r="AD16" i="109"/>
  <c r="AC16" i="109"/>
  <c r="AB16" i="109"/>
  <c r="W16" i="109"/>
  <c r="X16" i="109"/>
  <c r="Y16" i="109" s="1"/>
  <c r="Q16" i="109"/>
  <c r="R16" i="109"/>
  <c r="N16" i="109"/>
  <c r="W15" i="109"/>
  <c r="X15" i="109" s="1"/>
  <c r="Y15" i="109" s="1"/>
  <c r="Q15" i="109"/>
  <c r="Q18" i="109" s="1"/>
  <c r="R18" i="109" s="1"/>
  <c r="N15" i="109"/>
  <c r="F12" i="109"/>
  <c r="E12" i="109"/>
  <c r="J11" i="109"/>
  <c r="E36" i="109" s="1"/>
  <c r="E38" i="109" s="1"/>
  <c r="H11" i="109"/>
  <c r="E39" i="109"/>
  <c r="F11" i="109"/>
  <c r="Y40" i="109" s="1"/>
  <c r="A7" i="40"/>
  <c r="O7" i="40" s="1"/>
  <c r="A5" i="40"/>
  <c r="O5" i="40" s="1"/>
  <c r="K231" i="107"/>
  <c r="I231" i="107"/>
  <c r="K229" i="107"/>
  <c r="I229" i="107"/>
  <c r="K227" i="107"/>
  <c r="I227" i="107"/>
  <c r="AA220" i="107"/>
  <c r="X220" i="107"/>
  <c r="AB220" i="107"/>
  <c r="W220" i="107"/>
  <c r="Y220" i="107" s="1"/>
  <c r="T220" i="107"/>
  <c r="S220" i="107"/>
  <c r="U220" i="107" s="1"/>
  <c r="P220" i="107"/>
  <c r="O220" i="107"/>
  <c r="Q220" i="107"/>
  <c r="AA219" i="107"/>
  <c r="Y219" i="107"/>
  <c r="X219" i="107"/>
  <c r="AB219" i="107" s="1"/>
  <c r="W219" i="107"/>
  <c r="T219" i="107"/>
  <c r="S219" i="107"/>
  <c r="U219" i="107"/>
  <c r="P219" i="107"/>
  <c r="O219" i="107"/>
  <c r="Q219" i="107"/>
  <c r="AA218" i="107"/>
  <c r="X218" i="107"/>
  <c r="AB218" i="107"/>
  <c r="W218" i="107"/>
  <c r="Y218" i="107"/>
  <c r="T218" i="107"/>
  <c r="S218" i="107"/>
  <c r="U218" i="107"/>
  <c r="P218" i="107"/>
  <c r="O218" i="107"/>
  <c r="Q218" i="107"/>
  <c r="AA217" i="107"/>
  <c r="X217" i="107"/>
  <c r="AB217" i="107"/>
  <c r="W217" i="107"/>
  <c r="Y217" i="107"/>
  <c r="T217" i="107"/>
  <c r="S217" i="107"/>
  <c r="U217" i="107"/>
  <c r="P217" i="107"/>
  <c r="O217" i="107"/>
  <c r="Q217" i="107"/>
  <c r="AA216" i="107"/>
  <c r="X216" i="107"/>
  <c r="AB216" i="107" s="1"/>
  <c r="W216" i="107"/>
  <c r="Y216" i="107"/>
  <c r="T216" i="107"/>
  <c r="S216" i="107"/>
  <c r="U216" i="107"/>
  <c r="P216" i="107"/>
  <c r="O216" i="107"/>
  <c r="Q216" i="107" s="1"/>
  <c r="AA215" i="107"/>
  <c r="X215" i="107"/>
  <c r="AB215" i="107" s="1"/>
  <c r="W215" i="107"/>
  <c r="Y215" i="107"/>
  <c r="U215" i="107"/>
  <c r="T215" i="107"/>
  <c r="S215" i="107"/>
  <c r="P215" i="107"/>
  <c r="O215" i="107"/>
  <c r="Q215" i="107" s="1"/>
  <c r="AA214" i="107"/>
  <c r="X214" i="107"/>
  <c r="AB214" i="107" s="1"/>
  <c r="W214" i="107"/>
  <c r="Y214" i="107" s="1"/>
  <c r="T214" i="107"/>
  <c r="S214" i="107"/>
  <c r="U214" i="107" s="1"/>
  <c r="P214" i="107"/>
  <c r="O214" i="107"/>
  <c r="Q214" i="107" s="1"/>
  <c r="AA213" i="107"/>
  <c r="X213" i="107"/>
  <c r="AB213" i="107" s="1"/>
  <c r="W213" i="107"/>
  <c r="Y213" i="107" s="1"/>
  <c r="T213" i="107"/>
  <c r="S213" i="107"/>
  <c r="U213" i="107" s="1"/>
  <c r="P213" i="107"/>
  <c r="O213" i="107"/>
  <c r="Q213" i="107" s="1"/>
  <c r="AA212" i="107"/>
  <c r="X212" i="107"/>
  <c r="AB212" i="107"/>
  <c r="W212" i="107"/>
  <c r="Y212" i="107" s="1"/>
  <c r="T212" i="107"/>
  <c r="S212" i="107"/>
  <c r="U212" i="107" s="1"/>
  <c r="P212" i="107"/>
  <c r="O212" i="107"/>
  <c r="Q212" i="107"/>
  <c r="AA211" i="107"/>
  <c r="X211" i="107"/>
  <c r="AB211" i="107"/>
  <c r="W211" i="107"/>
  <c r="Y211" i="107" s="1"/>
  <c r="T211" i="107"/>
  <c r="S211" i="107"/>
  <c r="U211" i="107"/>
  <c r="P211" i="107"/>
  <c r="O211" i="107"/>
  <c r="Q211" i="107"/>
  <c r="AA206" i="107"/>
  <c r="X206" i="107"/>
  <c r="AB206" i="107"/>
  <c r="W206" i="107"/>
  <c r="Y206" i="107"/>
  <c r="T206" i="107"/>
  <c r="S206" i="107"/>
  <c r="U206" i="107"/>
  <c r="P206" i="107"/>
  <c r="O206" i="107"/>
  <c r="Q206" i="107"/>
  <c r="AA205" i="107"/>
  <c r="X205" i="107"/>
  <c r="AB205" i="107"/>
  <c r="W205" i="107"/>
  <c r="Y205" i="107"/>
  <c r="T205" i="107"/>
  <c r="S205" i="107"/>
  <c r="U205" i="107"/>
  <c r="P205" i="107"/>
  <c r="O205" i="107"/>
  <c r="Q205" i="107"/>
  <c r="AA204" i="107"/>
  <c r="X204" i="107"/>
  <c r="AB204" i="107" s="1"/>
  <c r="W204" i="107"/>
  <c r="Y204" i="107"/>
  <c r="T204" i="107"/>
  <c r="S204" i="107"/>
  <c r="U204" i="107"/>
  <c r="P204" i="107"/>
  <c r="O204" i="107"/>
  <c r="Q204" i="107" s="1"/>
  <c r="AA203" i="107"/>
  <c r="X203" i="107"/>
  <c r="AB203" i="107" s="1"/>
  <c r="W203" i="107"/>
  <c r="Y203" i="107"/>
  <c r="T203" i="107"/>
  <c r="S203" i="107"/>
  <c r="U203" i="107" s="1"/>
  <c r="P203" i="107"/>
  <c r="O203" i="107"/>
  <c r="Q203" i="107" s="1"/>
  <c r="AA202" i="107"/>
  <c r="X202" i="107"/>
  <c r="AB202" i="107" s="1"/>
  <c r="W202" i="107"/>
  <c r="Y202" i="107" s="1"/>
  <c r="T202" i="107"/>
  <c r="S202" i="107"/>
  <c r="U202" i="107" s="1"/>
  <c r="P202" i="107"/>
  <c r="O202" i="107"/>
  <c r="Q202" i="107" s="1"/>
  <c r="AA201" i="107"/>
  <c r="X201" i="107"/>
  <c r="AB201" i="107" s="1"/>
  <c r="W201" i="107"/>
  <c r="Y201" i="107" s="1"/>
  <c r="T201" i="107"/>
  <c r="S201" i="107"/>
  <c r="U201" i="107" s="1"/>
  <c r="P201" i="107"/>
  <c r="O201" i="107"/>
  <c r="Q201" i="107" s="1"/>
  <c r="AA200" i="107"/>
  <c r="X200" i="107"/>
  <c r="AB200" i="107"/>
  <c r="W200" i="107"/>
  <c r="Y200" i="107" s="1"/>
  <c r="T200" i="107"/>
  <c r="S200" i="107"/>
  <c r="U200" i="107" s="1"/>
  <c r="P200" i="107"/>
  <c r="O200" i="107"/>
  <c r="Q200" i="107"/>
  <c r="AA199" i="107"/>
  <c r="X199" i="107"/>
  <c r="AB199" i="107"/>
  <c r="W199" i="107"/>
  <c r="Y199" i="107" s="1"/>
  <c r="T199" i="107"/>
  <c r="S199" i="107"/>
  <c r="U199" i="107"/>
  <c r="P199" i="107"/>
  <c r="O199" i="107"/>
  <c r="Q199" i="107"/>
  <c r="AA198" i="107"/>
  <c r="X198" i="107"/>
  <c r="AB198" i="107"/>
  <c r="W198" i="107"/>
  <c r="Y198" i="107"/>
  <c r="T198" i="107"/>
  <c r="S198" i="107"/>
  <c r="U198" i="107"/>
  <c r="P198" i="107"/>
  <c r="O198" i="107"/>
  <c r="Q198" i="107"/>
  <c r="AA197" i="107"/>
  <c r="X197" i="107"/>
  <c r="AB197" i="107"/>
  <c r="W197" i="107"/>
  <c r="Y197" i="107"/>
  <c r="T197" i="107"/>
  <c r="S197" i="107"/>
  <c r="U197" i="107"/>
  <c r="P197" i="107"/>
  <c r="O197" i="107"/>
  <c r="Q197" i="107"/>
  <c r="AA196" i="107"/>
  <c r="X196" i="107"/>
  <c r="AB196" i="107" s="1"/>
  <c r="W196" i="107"/>
  <c r="Y196" i="107"/>
  <c r="T196" i="107"/>
  <c r="S196" i="107"/>
  <c r="U196" i="107"/>
  <c r="P196" i="107"/>
  <c r="O196" i="107"/>
  <c r="Q196" i="107" s="1"/>
  <c r="AA195" i="107"/>
  <c r="X195" i="107"/>
  <c r="AB195" i="107" s="1"/>
  <c r="W195" i="107"/>
  <c r="Y195" i="107"/>
  <c r="T195" i="107"/>
  <c r="S195" i="107"/>
  <c r="U195" i="107" s="1"/>
  <c r="P195" i="107"/>
  <c r="O195" i="107"/>
  <c r="Q195" i="107" s="1"/>
  <c r="AA194" i="107"/>
  <c r="X194" i="107"/>
  <c r="AB194" i="107" s="1"/>
  <c r="W194" i="107"/>
  <c r="Y194" i="107" s="1"/>
  <c r="T194" i="107"/>
  <c r="S194" i="107"/>
  <c r="U194" i="107" s="1"/>
  <c r="P194" i="107"/>
  <c r="O194" i="107"/>
  <c r="Q194" i="107" s="1"/>
  <c r="AA193" i="107"/>
  <c r="X193" i="107"/>
  <c r="AB193" i="107" s="1"/>
  <c r="W193" i="107"/>
  <c r="Y193" i="107" s="1"/>
  <c r="T193" i="107"/>
  <c r="S193" i="107"/>
  <c r="U193" i="107" s="1"/>
  <c r="P193" i="107"/>
  <c r="O193" i="107"/>
  <c r="Q193" i="107" s="1"/>
  <c r="AA192" i="107"/>
  <c r="X192" i="107"/>
  <c r="AB192" i="107"/>
  <c r="W192" i="107"/>
  <c r="Y192" i="107" s="1"/>
  <c r="T192" i="107"/>
  <c r="S192" i="107"/>
  <c r="U192" i="107" s="1"/>
  <c r="P192" i="107"/>
  <c r="O192" i="107"/>
  <c r="Q192" i="107"/>
  <c r="AA191" i="107"/>
  <c r="X191" i="107"/>
  <c r="AB191" i="107"/>
  <c r="W191" i="107"/>
  <c r="Y191" i="107" s="1"/>
  <c r="T191" i="107"/>
  <c r="S191" i="107"/>
  <c r="U191" i="107"/>
  <c r="P191" i="107"/>
  <c r="O191" i="107"/>
  <c r="Q191" i="107"/>
  <c r="AA190" i="107"/>
  <c r="X190" i="107"/>
  <c r="AB190" i="107"/>
  <c r="W190" i="107"/>
  <c r="Y190" i="107"/>
  <c r="T190" i="107"/>
  <c r="S190" i="107"/>
  <c r="U190" i="107"/>
  <c r="P190" i="107"/>
  <c r="O190" i="107"/>
  <c r="Q190" i="107"/>
  <c r="AA189" i="107"/>
  <c r="X189" i="107"/>
  <c r="AB189" i="107"/>
  <c r="W189" i="107"/>
  <c r="Y189" i="107"/>
  <c r="T189" i="107"/>
  <c r="S189" i="107"/>
  <c r="U189" i="107"/>
  <c r="P189" i="107"/>
  <c r="O189" i="107"/>
  <c r="Q189" i="107"/>
  <c r="AA188" i="107"/>
  <c r="X188" i="107"/>
  <c r="AB188" i="107" s="1"/>
  <c r="W188" i="107"/>
  <c r="Y188" i="107"/>
  <c r="T188" i="107"/>
  <c r="S188" i="107"/>
  <c r="U188" i="107"/>
  <c r="P188" i="107"/>
  <c r="O188" i="107"/>
  <c r="Q188" i="107" s="1"/>
  <c r="AA187" i="107"/>
  <c r="X187" i="107"/>
  <c r="AB187" i="107" s="1"/>
  <c r="W187" i="107"/>
  <c r="Y187" i="107"/>
  <c r="T187" i="107"/>
  <c r="S187" i="107"/>
  <c r="U187" i="107" s="1"/>
  <c r="P187" i="107"/>
  <c r="O187" i="107"/>
  <c r="Q187" i="107" s="1"/>
  <c r="AA186" i="107"/>
  <c r="X186" i="107"/>
  <c r="AB186" i="107" s="1"/>
  <c r="W186" i="107"/>
  <c r="Y186" i="107" s="1"/>
  <c r="T186" i="107"/>
  <c r="S186" i="107"/>
  <c r="U186" i="107" s="1"/>
  <c r="P186" i="107"/>
  <c r="O186" i="107"/>
  <c r="Q186" i="107" s="1"/>
  <c r="AA185" i="107"/>
  <c r="X185" i="107"/>
  <c r="AB185" i="107" s="1"/>
  <c r="W185" i="107"/>
  <c r="Y185" i="107" s="1"/>
  <c r="T185" i="107"/>
  <c r="S185" i="107"/>
  <c r="U185" i="107" s="1"/>
  <c r="P185" i="107"/>
  <c r="O185" i="107"/>
  <c r="Q185" i="107" s="1"/>
  <c r="AA184" i="107"/>
  <c r="X184" i="107"/>
  <c r="AB184" i="107"/>
  <c r="W184" i="107"/>
  <c r="Y184" i="107" s="1"/>
  <c r="T184" i="107"/>
  <c r="S184" i="107"/>
  <c r="U184" i="107" s="1"/>
  <c r="P184" i="107"/>
  <c r="O184" i="107"/>
  <c r="Q184" i="107"/>
  <c r="AA183" i="107"/>
  <c r="X183" i="107"/>
  <c r="AB183" i="107"/>
  <c r="W183" i="107"/>
  <c r="Y183" i="107" s="1"/>
  <c r="T183" i="107"/>
  <c r="S183" i="107"/>
  <c r="U183" i="107"/>
  <c r="P183" i="107"/>
  <c r="O183" i="107"/>
  <c r="Q183" i="107"/>
  <c r="AA182" i="107"/>
  <c r="X182" i="107"/>
  <c r="AB182" i="107"/>
  <c r="W182" i="107"/>
  <c r="Y182" i="107"/>
  <c r="T182" i="107"/>
  <c r="S182" i="107"/>
  <c r="U182" i="107"/>
  <c r="P182" i="107"/>
  <c r="O182" i="107"/>
  <c r="Q182" i="107"/>
  <c r="AA181" i="107"/>
  <c r="X181" i="107"/>
  <c r="AB181" i="107"/>
  <c r="W181" i="107"/>
  <c r="Y181" i="107"/>
  <c r="T181" i="107"/>
  <c r="S181" i="107"/>
  <c r="U181" i="107"/>
  <c r="P181" i="107"/>
  <c r="O181" i="107"/>
  <c r="Q181" i="107"/>
  <c r="AA180" i="107"/>
  <c r="X180" i="107"/>
  <c r="AB180" i="107" s="1"/>
  <c r="W180" i="107"/>
  <c r="Y180" i="107"/>
  <c r="T180" i="107"/>
  <c r="S180" i="107"/>
  <c r="U180" i="107"/>
  <c r="P180" i="107"/>
  <c r="O180" i="107"/>
  <c r="Q180" i="107" s="1"/>
  <c r="AA179" i="107"/>
  <c r="X179" i="107"/>
  <c r="AB179" i="107" s="1"/>
  <c r="W179" i="107"/>
  <c r="Y179" i="107"/>
  <c r="T179" i="107"/>
  <c r="S179" i="107"/>
  <c r="U179" i="107" s="1"/>
  <c r="P179" i="107"/>
  <c r="O179" i="107"/>
  <c r="Q179" i="107" s="1"/>
  <c r="AA178" i="107"/>
  <c r="X178" i="107"/>
  <c r="AB178" i="107" s="1"/>
  <c r="W178" i="107"/>
  <c r="Y178" i="107" s="1"/>
  <c r="T178" i="107"/>
  <c r="S178" i="107"/>
  <c r="U178" i="107" s="1"/>
  <c r="P178" i="107"/>
  <c r="O178" i="107"/>
  <c r="Q178" i="107" s="1"/>
  <c r="AA177" i="107"/>
  <c r="X177" i="107"/>
  <c r="AB177" i="107" s="1"/>
  <c r="W177" i="107"/>
  <c r="Y177" i="107" s="1"/>
  <c r="T177" i="107"/>
  <c r="S177" i="107"/>
  <c r="U177" i="107" s="1"/>
  <c r="P177" i="107"/>
  <c r="O177" i="107"/>
  <c r="Q177" i="107" s="1"/>
  <c r="AA176" i="107"/>
  <c r="X176" i="107"/>
  <c r="AB176" i="107"/>
  <c r="W176" i="107"/>
  <c r="Y176" i="107" s="1"/>
  <c r="T176" i="107"/>
  <c r="S176" i="107"/>
  <c r="U176" i="107" s="1"/>
  <c r="P176" i="107"/>
  <c r="O176" i="107"/>
  <c r="Q176" i="107"/>
  <c r="AA175" i="107"/>
  <c r="X175" i="107"/>
  <c r="AB175" i="107"/>
  <c r="W175" i="107"/>
  <c r="Y175" i="107" s="1"/>
  <c r="T175" i="107"/>
  <c r="S175" i="107"/>
  <c r="U175" i="107"/>
  <c r="P175" i="107"/>
  <c r="O175" i="107"/>
  <c r="Q175" i="107"/>
  <c r="AA174" i="107"/>
  <c r="X174" i="107"/>
  <c r="AB174" i="107"/>
  <c r="W174" i="107"/>
  <c r="Y174" i="107"/>
  <c r="T174" i="107"/>
  <c r="S174" i="107"/>
  <c r="U174" i="107"/>
  <c r="P174" i="107"/>
  <c r="O174" i="107"/>
  <c r="Q174" i="107"/>
  <c r="AA173" i="107"/>
  <c r="X173" i="107"/>
  <c r="AB173" i="107"/>
  <c r="W173" i="107"/>
  <c r="Y173" i="107"/>
  <c r="T173" i="107"/>
  <c r="S173" i="107"/>
  <c r="U173" i="107"/>
  <c r="P173" i="107"/>
  <c r="O173" i="107"/>
  <c r="Q173" i="107"/>
  <c r="AA172" i="107"/>
  <c r="X172" i="107"/>
  <c r="AB172" i="107" s="1"/>
  <c r="W172" i="107"/>
  <c r="Y172" i="107"/>
  <c r="T172" i="107"/>
  <c r="S172" i="107"/>
  <c r="U172" i="107"/>
  <c r="P172" i="107"/>
  <c r="O172" i="107"/>
  <c r="Q172" i="107" s="1"/>
  <c r="AA171" i="107"/>
  <c r="X171" i="107"/>
  <c r="AB171" i="107" s="1"/>
  <c r="W171" i="107"/>
  <c r="Y171" i="107"/>
  <c r="T171" i="107"/>
  <c r="S171" i="107"/>
  <c r="U171" i="107" s="1"/>
  <c r="P171" i="107"/>
  <c r="O171" i="107"/>
  <c r="Q171" i="107" s="1"/>
  <c r="AA170" i="107"/>
  <c r="X170" i="107"/>
  <c r="AB170" i="107" s="1"/>
  <c r="W170" i="107"/>
  <c r="Y170" i="107" s="1"/>
  <c r="T170" i="107"/>
  <c r="S170" i="107"/>
  <c r="U170" i="107" s="1"/>
  <c r="P170" i="107"/>
  <c r="O170" i="107"/>
  <c r="Q170" i="107" s="1"/>
  <c r="AA169" i="107"/>
  <c r="X169" i="107"/>
  <c r="AB169" i="107" s="1"/>
  <c r="W169" i="107"/>
  <c r="Y169" i="107" s="1"/>
  <c r="T169" i="107"/>
  <c r="S169" i="107"/>
  <c r="U169" i="107" s="1"/>
  <c r="P169" i="107"/>
  <c r="O169" i="107"/>
  <c r="Q169" i="107" s="1"/>
  <c r="AA168" i="107"/>
  <c r="X168" i="107"/>
  <c r="AB168" i="107"/>
  <c r="W168" i="107"/>
  <c r="T168" i="107"/>
  <c r="S168" i="107"/>
  <c r="U168" i="107" s="1"/>
  <c r="L170" i="107" s="1"/>
  <c r="P168" i="107"/>
  <c r="O168" i="107"/>
  <c r="Q168" i="107" s="1"/>
  <c r="AA167" i="107"/>
  <c r="X167" i="107"/>
  <c r="AB167" i="107" s="1"/>
  <c r="W167" i="107"/>
  <c r="Y167" i="107" s="1"/>
  <c r="T167" i="107"/>
  <c r="S167" i="107"/>
  <c r="P167" i="107"/>
  <c r="O167" i="107"/>
  <c r="I173" i="107" s="1"/>
  <c r="Q167" i="107"/>
  <c r="I167" i="107"/>
  <c r="M167" i="107" s="1"/>
  <c r="M171" i="107" s="1"/>
  <c r="G167" i="107"/>
  <c r="L167" i="107" s="1"/>
  <c r="E167" i="107"/>
  <c r="K167" i="107"/>
  <c r="AK62" i="107"/>
  <c r="AJ62" i="107"/>
  <c r="AI62" i="107"/>
  <c r="AG62" i="107"/>
  <c r="AF62" i="107"/>
  <c r="AE62" i="107"/>
  <c r="AC62" i="107"/>
  <c r="AB62" i="107"/>
  <c r="AA62" i="107"/>
  <c r="Y62" i="107"/>
  <c r="X62" i="107"/>
  <c r="W62" i="107"/>
  <c r="U62" i="107"/>
  <c r="T62" i="107"/>
  <c r="S62" i="107"/>
  <c r="Q62" i="107"/>
  <c r="P62" i="107"/>
  <c r="O62" i="107"/>
  <c r="M62" i="107"/>
  <c r="AK61" i="107"/>
  <c r="AJ61" i="107"/>
  <c r="AI61" i="107"/>
  <c r="AG61" i="107"/>
  <c r="AF61" i="107"/>
  <c r="AE61" i="107"/>
  <c r="AC61" i="107"/>
  <c r="AB61" i="107"/>
  <c r="AA61" i="107"/>
  <c r="Y61" i="107"/>
  <c r="X61" i="107"/>
  <c r="W61" i="107"/>
  <c r="U61" i="107"/>
  <c r="T61" i="107"/>
  <c r="S61" i="107"/>
  <c r="Q61" i="107"/>
  <c r="P61" i="107"/>
  <c r="O61" i="107"/>
  <c r="M61" i="107"/>
  <c r="AK60" i="107"/>
  <c r="AJ60" i="107"/>
  <c r="AI60" i="107"/>
  <c r="AG60" i="107"/>
  <c r="AF60" i="107"/>
  <c r="AE60" i="107"/>
  <c r="AC60" i="107"/>
  <c r="AB60" i="107"/>
  <c r="AA60" i="107"/>
  <c r="Y60" i="107"/>
  <c r="X60" i="107"/>
  <c r="W60" i="107"/>
  <c r="U60" i="107"/>
  <c r="T60" i="107"/>
  <c r="S60" i="107"/>
  <c r="Q60" i="107"/>
  <c r="P60" i="107"/>
  <c r="O60" i="107"/>
  <c r="M60" i="107"/>
  <c r="AK59" i="107"/>
  <c r="AJ59" i="107"/>
  <c r="AI59" i="107"/>
  <c r="AG59" i="107"/>
  <c r="AF59" i="107"/>
  <c r="AE59" i="107"/>
  <c r="AC59" i="107"/>
  <c r="AB59" i="107"/>
  <c r="AA59" i="107"/>
  <c r="Y59" i="107"/>
  <c r="X59" i="107"/>
  <c r="W59" i="107"/>
  <c r="U59" i="107"/>
  <c r="T59" i="107"/>
  <c r="S59" i="107"/>
  <c r="Q59" i="107"/>
  <c r="P59" i="107"/>
  <c r="O59" i="107"/>
  <c r="M59" i="107"/>
  <c r="AK58" i="107"/>
  <c r="AJ58" i="107"/>
  <c r="AI58" i="107"/>
  <c r="AG58" i="107"/>
  <c r="AF58" i="107"/>
  <c r="AE58" i="107"/>
  <c r="AC58" i="107"/>
  <c r="AB58" i="107"/>
  <c r="AA58" i="107"/>
  <c r="Y58" i="107"/>
  <c r="X58" i="107"/>
  <c r="W58" i="107"/>
  <c r="U58" i="107"/>
  <c r="T58" i="107"/>
  <c r="S58" i="107"/>
  <c r="Q58" i="107"/>
  <c r="P58" i="107"/>
  <c r="O58" i="107"/>
  <c r="M58" i="107"/>
  <c r="AK57" i="107"/>
  <c r="AJ57" i="107"/>
  <c r="AI57" i="107"/>
  <c r="AG57" i="107"/>
  <c r="AF57" i="107"/>
  <c r="AE57" i="107"/>
  <c r="AC57" i="107"/>
  <c r="AB57" i="107"/>
  <c r="AA57" i="107"/>
  <c r="Y57" i="107"/>
  <c r="X57" i="107"/>
  <c r="W57" i="107"/>
  <c r="U57" i="107"/>
  <c r="T57" i="107"/>
  <c r="S57" i="107"/>
  <c r="Q57" i="107"/>
  <c r="P57" i="107"/>
  <c r="O57" i="107"/>
  <c r="M57" i="107"/>
  <c r="AK56" i="107"/>
  <c r="AJ56" i="107"/>
  <c r="AI56" i="107"/>
  <c r="AG56" i="107"/>
  <c r="AF56" i="107"/>
  <c r="AE56" i="107"/>
  <c r="AC56" i="107"/>
  <c r="AB56" i="107"/>
  <c r="AA56" i="107"/>
  <c r="Y56" i="107"/>
  <c r="X56" i="107"/>
  <c r="W56" i="107"/>
  <c r="U56" i="107"/>
  <c r="T56" i="107"/>
  <c r="S56" i="107"/>
  <c r="Q56" i="107"/>
  <c r="P56" i="107"/>
  <c r="O56" i="107"/>
  <c r="M56" i="107"/>
  <c r="AK55" i="107"/>
  <c r="AJ55" i="107"/>
  <c r="AI55" i="107"/>
  <c r="AG55" i="107"/>
  <c r="AF55" i="107"/>
  <c r="AE55" i="107"/>
  <c r="AC55" i="107"/>
  <c r="AB55" i="107"/>
  <c r="AA55" i="107"/>
  <c r="Y55" i="107"/>
  <c r="X55" i="107"/>
  <c r="W55" i="107"/>
  <c r="U55" i="107"/>
  <c r="T55" i="107"/>
  <c r="S55" i="107"/>
  <c r="Q55" i="107"/>
  <c r="P55" i="107"/>
  <c r="O55" i="107"/>
  <c r="M55" i="107"/>
  <c r="AK54" i="107"/>
  <c r="AJ54" i="107"/>
  <c r="AI54" i="107"/>
  <c r="AG54" i="107"/>
  <c r="AF54" i="107"/>
  <c r="AE54" i="107"/>
  <c r="AC54" i="107"/>
  <c r="AB54" i="107"/>
  <c r="AA54" i="107"/>
  <c r="Y54" i="107"/>
  <c r="X54" i="107"/>
  <c r="W54" i="107"/>
  <c r="U54" i="107"/>
  <c r="T54" i="107"/>
  <c r="S54" i="107"/>
  <c r="Q54" i="107"/>
  <c r="P54" i="107"/>
  <c r="O54" i="107"/>
  <c r="M54" i="107"/>
  <c r="AK53" i="107"/>
  <c r="AJ53" i="107"/>
  <c r="AI53" i="107"/>
  <c r="AG53" i="107"/>
  <c r="AF53" i="107"/>
  <c r="AE53" i="107"/>
  <c r="AC53" i="107"/>
  <c r="AB53" i="107"/>
  <c r="AA53" i="107"/>
  <c r="Y53" i="107"/>
  <c r="X53" i="107"/>
  <c r="W53" i="107"/>
  <c r="U53" i="107"/>
  <c r="T53" i="107"/>
  <c r="S53" i="107"/>
  <c r="Q53" i="107"/>
  <c r="P53" i="107"/>
  <c r="O53" i="107"/>
  <c r="M53" i="107"/>
  <c r="AK48" i="107"/>
  <c r="AJ48" i="107"/>
  <c r="AI48" i="107"/>
  <c r="AG48" i="107"/>
  <c r="AF48" i="107"/>
  <c r="AE48" i="107"/>
  <c r="AC48" i="107"/>
  <c r="AB48" i="107"/>
  <c r="AA48" i="107"/>
  <c r="Y48" i="107"/>
  <c r="X48" i="107"/>
  <c r="W48" i="107"/>
  <c r="U48" i="107"/>
  <c r="T48" i="107"/>
  <c r="S48" i="107"/>
  <c r="Q48" i="107"/>
  <c r="P48" i="107"/>
  <c r="O48" i="107"/>
  <c r="M48" i="107"/>
  <c r="AK47" i="107"/>
  <c r="AJ47" i="107"/>
  <c r="AI47" i="107"/>
  <c r="AG47" i="107"/>
  <c r="AF47" i="107"/>
  <c r="AE47" i="107"/>
  <c r="AC47" i="107"/>
  <c r="AB47" i="107"/>
  <c r="AA47" i="107"/>
  <c r="Y47" i="107"/>
  <c r="X47" i="107"/>
  <c r="W47" i="107"/>
  <c r="U47" i="107"/>
  <c r="T47" i="107"/>
  <c r="S47" i="107"/>
  <c r="Q47" i="107"/>
  <c r="P47" i="107"/>
  <c r="O47" i="107"/>
  <c r="M47" i="107"/>
  <c r="AK46" i="107"/>
  <c r="AJ46" i="107"/>
  <c r="AI46" i="107"/>
  <c r="AG46" i="107"/>
  <c r="AF46" i="107"/>
  <c r="AE46" i="107"/>
  <c r="AC46" i="107"/>
  <c r="AB46" i="107"/>
  <c r="AA46" i="107"/>
  <c r="Y46" i="107"/>
  <c r="X46" i="107"/>
  <c r="W46" i="107"/>
  <c r="U46" i="107"/>
  <c r="T46" i="107"/>
  <c r="S46" i="107"/>
  <c r="Q46" i="107"/>
  <c r="P46" i="107"/>
  <c r="O46" i="107"/>
  <c r="M46" i="107"/>
  <c r="AK45" i="107"/>
  <c r="AJ45" i="107"/>
  <c r="AI45" i="107"/>
  <c r="AG45" i="107"/>
  <c r="AF45" i="107"/>
  <c r="AE45" i="107"/>
  <c r="AC45" i="107"/>
  <c r="AB45" i="107"/>
  <c r="AA45" i="107"/>
  <c r="Y45" i="107"/>
  <c r="X45" i="107"/>
  <c r="W45" i="107"/>
  <c r="U45" i="107"/>
  <c r="T45" i="107"/>
  <c r="S45" i="107"/>
  <c r="Q45" i="107"/>
  <c r="P45" i="107"/>
  <c r="O45" i="107"/>
  <c r="M45" i="107"/>
  <c r="AK44" i="107"/>
  <c r="AJ44" i="107"/>
  <c r="AI44" i="107"/>
  <c r="AG44" i="107"/>
  <c r="AF44" i="107"/>
  <c r="AE44" i="107"/>
  <c r="AC44" i="107"/>
  <c r="AB44" i="107"/>
  <c r="AA44" i="107"/>
  <c r="Y44" i="107"/>
  <c r="X44" i="107"/>
  <c r="W44" i="107"/>
  <c r="U44" i="107"/>
  <c r="T44" i="107"/>
  <c r="S44" i="107"/>
  <c r="Q44" i="107"/>
  <c r="P44" i="107"/>
  <c r="O44" i="107"/>
  <c r="M44" i="107"/>
  <c r="AK43" i="107"/>
  <c r="AJ43" i="107"/>
  <c r="AI43" i="107"/>
  <c r="AG43" i="107"/>
  <c r="AF43" i="107"/>
  <c r="AE43" i="107"/>
  <c r="AC43" i="107"/>
  <c r="AB43" i="107"/>
  <c r="AA43" i="107"/>
  <c r="Y43" i="107"/>
  <c r="X43" i="107"/>
  <c r="W43" i="107"/>
  <c r="U43" i="107"/>
  <c r="T43" i="107"/>
  <c r="S43" i="107"/>
  <c r="Q43" i="107"/>
  <c r="P43" i="107"/>
  <c r="O43" i="107"/>
  <c r="M43" i="107"/>
  <c r="AK42" i="107"/>
  <c r="AJ42" i="107"/>
  <c r="AI42" i="107"/>
  <c r="AG42" i="107"/>
  <c r="AF42" i="107"/>
  <c r="AE42" i="107"/>
  <c r="AC42" i="107"/>
  <c r="AB42" i="107"/>
  <c r="AA42" i="107"/>
  <c r="Y42" i="107"/>
  <c r="X42" i="107"/>
  <c r="W42" i="107"/>
  <c r="U42" i="107"/>
  <c r="T42" i="107"/>
  <c r="S42" i="107"/>
  <c r="Q42" i="107"/>
  <c r="P42" i="107"/>
  <c r="O42" i="107"/>
  <c r="M42" i="107"/>
  <c r="AK41" i="107"/>
  <c r="AJ41" i="107"/>
  <c r="AI41" i="107"/>
  <c r="AG41" i="107"/>
  <c r="AF41" i="107"/>
  <c r="AE41" i="107"/>
  <c r="AC41" i="107"/>
  <c r="AB41" i="107"/>
  <c r="AA41" i="107"/>
  <c r="Y41" i="107"/>
  <c r="X41" i="107"/>
  <c r="W41" i="107"/>
  <c r="U41" i="107"/>
  <c r="T41" i="107"/>
  <c r="S41" i="107"/>
  <c r="Q41" i="107"/>
  <c r="P41" i="107"/>
  <c r="O41" i="107"/>
  <c r="M41" i="107"/>
  <c r="AK40" i="107"/>
  <c r="AJ40" i="107"/>
  <c r="AI40" i="107"/>
  <c r="AG40" i="107"/>
  <c r="AF40" i="107"/>
  <c r="AE40" i="107"/>
  <c r="AC40" i="107"/>
  <c r="AB40" i="107"/>
  <c r="AA40" i="107"/>
  <c r="Y40" i="107"/>
  <c r="X40" i="107"/>
  <c r="W40" i="107"/>
  <c r="U40" i="107"/>
  <c r="T40" i="107"/>
  <c r="S40" i="107"/>
  <c r="Q40" i="107"/>
  <c r="P40" i="107"/>
  <c r="O40" i="107"/>
  <c r="M40" i="107"/>
  <c r="AK39" i="107"/>
  <c r="AJ39" i="107"/>
  <c r="AI39" i="107"/>
  <c r="AG39" i="107"/>
  <c r="AF39" i="107"/>
  <c r="AE39" i="107"/>
  <c r="AC39" i="107"/>
  <c r="AB39" i="107"/>
  <c r="AA39" i="107"/>
  <c r="Y39" i="107"/>
  <c r="X39" i="107"/>
  <c r="W39" i="107"/>
  <c r="U39" i="107"/>
  <c r="T39" i="107"/>
  <c r="S39" i="107"/>
  <c r="Q39" i="107"/>
  <c r="P39" i="107"/>
  <c r="O39" i="107"/>
  <c r="M39" i="107"/>
  <c r="AK38" i="107"/>
  <c r="AJ38" i="107"/>
  <c r="AI38" i="107"/>
  <c r="AG38" i="107"/>
  <c r="AF38" i="107"/>
  <c r="AE38" i="107"/>
  <c r="AC38" i="107"/>
  <c r="AB38" i="107"/>
  <c r="AA38" i="107"/>
  <c r="Y38" i="107"/>
  <c r="X38" i="107"/>
  <c r="W38" i="107"/>
  <c r="U38" i="107"/>
  <c r="T38" i="107"/>
  <c r="S38" i="107"/>
  <c r="Q38" i="107"/>
  <c r="P38" i="107"/>
  <c r="O38" i="107"/>
  <c r="M38" i="107"/>
  <c r="AK37" i="107"/>
  <c r="AJ37" i="107"/>
  <c r="AI37" i="107"/>
  <c r="AG37" i="107"/>
  <c r="AF37" i="107"/>
  <c r="AE37" i="107"/>
  <c r="AC37" i="107"/>
  <c r="AB37" i="107"/>
  <c r="AA37" i="107"/>
  <c r="Y37" i="107"/>
  <c r="X37" i="107"/>
  <c r="W37" i="107"/>
  <c r="U37" i="107"/>
  <c r="T37" i="107"/>
  <c r="S37" i="107"/>
  <c r="Q37" i="107"/>
  <c r="P37" i="107"/>
  <c r="O37" i="107"/>
  <c r="M37" i="107"/>
  <c r="AK36" i="107"/>
  <c r="AJ36" i="107"/>
  <c r="AI36" i="107"/>
  <c r="AG36" i="107"/>
  <c r="AF36" i="107"/>
  <c r="AE36" i="107"/>
  <c r="AC36" i="107"/>
  <c r="AB36" i="107"/>
  <c r="AA36" i="107"/>
  <c r="Y36" i="107"/>
  <c r="X36" i="107"/>
  <c r="W36" i="107"/>
  <c r="U36" i="107"/>
  <c r="T36" i="107"/>
  <c r="S36" i="107"/>
  <c r="Q36" i="107"/>
  <c r="P36" i="107"/>
  <c r="O36" i="107"/>
  <c r="M36" i="107"/>
  <c r="AK35" i="107"/>
  <c r="AJ35" i="107"/>
  <c r="AI35" i="107"/>
  <c r="AG35" i="107"/>
  <c r="AF35" i="107"/>
  <c r="AE35" i="107"/>
  <c r="AC35" i="107"/>
  <c r="AB35" i="107"/>
  <c r="AA35" i="107"/>
  <c r="Y35" i="107"/>
  <c r="X35" i="107"/>
  <c r="W35" i="107"/>
  <c r="U35" i="107"/>
  <c r="T35" i="107"/>
  <c r="S35" i="107"/>
  <c r="Q35" i="107"/>
  <c r="P35" i="107"/>
  <c r="O35" i="107"/>
  <c r="M35" i="107"/>
  <c r="AK34" i="107"/>
  <c r="AJ34" i="107"/>
  <c r="AI34" i="107"/>
  <c r="AG34" i="107"/>
  <c r="AF34" i="107"/>
  <c r="AE34" i="107"/>
  <c r="AC34" i="107"/>
  <c r="AB34" i="107"/>
  <c r="AA34" i="107"/>
  <c r="Y34" i="107"/>
  <c r="X34" i="107"/>
  <c r="W34" i="107"/>
  <c r="U34" i="107"/>
  <c r="T34" i="107"/>
  <c r="S34" i="107"/>
  <c r="Q34" i="107"/>
  <c r="P34" i="107"/>
  <c r="O34" i="107"/>
  <c r="M34" i="107"/>
  <c r="AK33" i="107"/>
  <c r="AJ33" i="107"/>
  <c r="AI33" i="107"/>
  <c r="AG33" i="107"/>
  <c r="AF33" i="107"/>
  <c r="AE33" i="107"/>
  <c r="AC33" i="107"/>
  <c r="AB33" i="107"/>
  <c r="AA33" i="107"/>
  <c r="Y33" i="107"/>
  <c r="X33" i="107"/>
  <c r="W33" i="107"/>
  <c r="U33" i="107"/>
  <c r="T33" i="107"/>
  <c r="S33" i="107"/>
  <c r="Q33" i="107"/>
  <c r="P33" i="107"/>
  <c r="O33" i="107"/>
  <c r="M33" i="107"/>
  <c r="AK32" i="107"/>
  <c r="AJ32" i="107"/>
  <c r="AI32" i="107"/>
  <c r="AG32" i="107"/>
  <c r="AF32" i="107"/>
  <c r="AE32" i="107"/>
  <c r="AC32" i="107"/>
  <c r="AB32" i="107"/>
  <c r="AA32" i="107"/>
  <c r="Y32" i="107"/>
  <c r="X32" i="107"/>
  <c r="W32" i="107"/>
  <c r="U32" i="107"/>
  <c r="T32" i="107"/>
  <c r="S32" i="107"/>
  <c r="Q32" i="107"/>
  <c r="P32" i="107"/>
  <c r="O32" i="107"/>
  <c r="M32" i="107"/>
  <c r="AK31" i="107"/>
  <c r="AJ31" i="107"/>
  <c r="AI31" i="107"/>
  <c r="AG31" i="107"/>
  <c r="AF31" i="107"/>
  <c r="AE31" i="107"/>
  <c r="AC31" i="107"/>
  <c r="AB31" i="107"/>
  <c r="AA31" i="107"/>
  <c r="Y31" i="107"/>
  <c r="X31" i="107"/>
  <c r="W31" i="107"/>
  <c r="U31" i="107"/>
  <c r="T31" i="107"/>
  <c r="S31" i="107"/>
  <c r="Q31" i="107"/>
  <c r="P31" i="107"/>
  <c r="O31" i="107"/>
  <c r="M31" i="107"/>
  <c r="AK30" i="107"/>
  <c r="AJ30" i="107"/>
  <c r="AI30" i="107"/>
  <c r="AG30" i="107"/>
  <c r="AF30" i="107"/>
  <c r="AE30" i="107"/>
  <c r="AC30" i="107"/>
  <c r="AB30" i="107"/>
  <c r="AA30" i="107"/>
  <c r="Y30" i="107"/>
  <c r="X30" i="107"/>
  <c r="W30" i="107"/>
  <c r="U30" i="107"/>
  <c r="T30" i="107"/>
  <c r="S30" i="107"/>
  <c r="Q30" i="107"/>
  <c r="P30" i="107"/>
  <c r="O30" i="107"/>
  <c r="M30" i="107"/>
  <c r="AK29" i="107"/>
  <c r="AJ29" i="107"/>
  <c r="AI29" i="107"/>
  <c r="AG29" i="107"/>
  <c r="AF29" i="107"/>
  <c r="AE29" i="107"/>
  <c r="AC29" i="107"/>
  <c r="AB29" i="107"/>
  <c r="AA29" i="107"/>
  <c r="Y29" i="107"/>
  <c r="X29" i="107"/>
  <c r="W29" i="107"/>
  <c r="U29" i="107"/>
  <c r="T29" i="107"/>
  <c r="S29" i="107"/>
  <c r="Q29" i="107"/>
  <c r="P29" i="107"/>
  <c r="O29" i="107"/>
  <c r="M29" i="107"/>
  <c r="AK28" i="107"/>
  <c r="AJ28" i="107"/>
  <c r="AI28" i="107"/>
  <c r="AG28" i="107"/>
  <c r="AF28" i="107"/>
  <c r="AE28" i="107"/>
  <c r="AC28" i="107"/>
  <c r="AB28" i="107"/>
  <c r="AA28" i="107"/>
  <c r="Y28" i="107"/>
  <c r="X28" i="107"/>
  <c r="W28" i="107"/>
  <c r="U28" i="107"/>
  <c r="T28" i="107"/>
  <c r="S28" i="107"/>
  <c r="Q28" i="107"/>
  <c r="P28" i="107"/>
  <c r="O28" i="107"/>
  <c r="M28" i="107"/>
  <c r="AK27" i="107"/>
  <c r="AJ27" i="107"/>
  <c r="AI27" i="107"/>
  <c r="AG27" i="107"/>
  <c r="AF27" i="107"/>
  <c r="AE27" i="107"/>
  <c r="AC27" i="107"/>
  <c r="AB27" i="107"/>
  <c r="AA27" i="107"/>
  <c r="Y27" i="107"/>
  <c r="X27" i="107"/>
  <c r="W27" i="107"/>
  <c r="U27" i="107"/>
  <c r="T27" i="107"/>
  <c r="S27" i="107"/>
  <c r="Q27" i="107"/>
  <c r="P27" i="107"/>
  <c r="O27" i="107"/>
  <c r="M27" i="107"/>
  <c r="AK26" i="107"/>
  <c r="AJ26" i="107"/>
  <c r="AI26" i="107"/>
  <c r="AG26" i="107"/>
  <c r="AF26" i="107"/>
  <c r="AE26" i="107"/>
  <c r="AC26" i="107"/>
  <c r="AB26" i="107"/>
  <c r="AA26" i="107"/>
  <c r="Y26" i="107"/>
  <c r="X26" i="107"/>
  <c r="W26" i="107"/>
  <c r="U26" i="107"/>
  <c r="T26" i="107"/>
  <c r="S26" i="107"/>
  <c r="Q26" i="107"/>
  <c r="P26" i="107"/>
  <c r="O26" i="107"/>
  <c r="M26" i="107"/>
  <c r="AK25" i="107"/>
  <c r="AJ25" i="107"/>
  <c r="AI25" i="107"/>
  <c r="AG25" i="107"/>
  <c r="AF25" i="107"/>
  <c r="AE25" i="107"/>
  <c r="AC25" i="107"/>
  <c r="AB25" i="107"/>
  <c r="AA25" i="107"/>
  <c r="Y25" i="107"/>
  <c r="X25" i="107"/>
  <c r="W25" i="107"/>
  <c r="U25" i="107"/>
  <c r="T25" i="107"/>
  <c r="S25" i="107"/>
  <c r="Q25" i="107"/>
  <c r="P25" i="107"/>
  <c r="O25" i="107"/>
  <c r="M25" i="107"/>
  <c r="AK24" i="107"/>
  <c r="AJ24" i="107"/>
  <c r="AI24" i="107"/>
  <c r="AG24" i="107"/>
  <c r="AF24" i="107"/>
  <c r="AE24" i="107"/>
  <c r="AC24" i="107"/>
  <c r="AB24" i="107"/>
  <c r="AA24" i="107"/>
  <c r="Y24" i="107"/>
  <c r="X24" i="107"/>
  <c r="W24" i="107"/>
  <c r="U24" i="107"/>
  <c r="T24" i="107"/>
  <c r="S24" i="107"/>
  <c r="Q24" i="107"/>
  <c r="P24" i="107"/>
  <c r="O24" i="107"/>
  <c r="M24" i="107"/>
  <c r="AK23" i="107"/>
  <c r="AJ23" i="107"/>
  <c r="AI23" i="107"/>
  <c r="AG23" i="107"/>
  <c r="AF23" i="107"/>
  <c r="AE23" i="107"/>
  <c r="AC23" i="107"/>
  <c r="AB23" i="107"/>
  <c r="AA23" i="107"/>
  <c r="Y23" i="107"/>
  <c r="X23" i="107"/>
  <c r="W23" i="107"/>
  <c r="U23" i="107"/>
  <c r="T23" i="107"/>
  <c r="S23" i="107"/>
  <c r="Q23" i="107"/>
  <c r="P23" i="107"/>
  <c r="O23" i="107"/>
  <c r="M23" i="107"/>
  <c r="AK22" i="107"/>
  <c r="AJ22" i="107"/>
  <c r="AI22" i="107"/>
  <c r="AG22" i="107"/>
  <c r="AF22" i="107"/>
  <c r="AE22" i="107"/>
  <c r="AC22" i="107"/>
  <c r="AB22" i="107"/>
  <c r="AA22" i="107"/>
  <c r="Y22" i="107"/>
  <c r="X22" i="107"/>
  <c r="W22" i="107"/>
  <c r="U22" i="107"/>
  <c r="T22" i="107"/>
  <c r="S22" i="107"/>
  <c r="Q22" i="107"/>
  <c r="P22" i="107"/>
  <c r="O22" i="107"/>
  <c r="M22" i="107"/>
  <c r="AK21" i="107"/>
  <c r="AJ21" i="107"/>
  <c r="AI21" i="107"/>
  <c r="AG21" i="107"/>
  <c r="AF21" i="107"/>
  <c r="AE21" i="107"/>
  <c r="AC21" i="107"/>
  <c r="AB21" i="107"/>
  <c r="AA21" i="107"/>
  <c r="Y21" i="107"/>
  <c r="X21" i="107"/>
  <c r="W21" i="107"/>
  <c r="U21" i="107"/>
  <c r="T21" i="107"/>
  <c r="S21" i="107"/>
  <c r="Q21" i="107"/>
  <c r="P21" i="107"/>
  <c r="O21" i="107"/>
  <c r="M21" i="107"/>
  <c r="AK20" i="107"/>
  <c r="AJ20" i="107"/>
  <c r="AI20" i="107"/>
  <c r="AG20" i="107"/>
  <c r="AF20" i="107"/>
  <c r="AE20" i="107"/>
  <c r="AC20" i="107"/>
  <c r="AB20" i="107"/>
  <c r="AA20" i="107"/>
  <c r="Y20" i="107"/>
  <c r="X20" i="107"/>
  <c r="W20" i="107"/>
  <c r="U20" i="107"/>
  <c r="T20" i="107"/>
  <c r="S20" i="107"/>
  <c r="Q20" i="107"/>
  <c r="P20" i="107"/>
  <c r="O20" i="107"/>
  <c r="M20" i="107"/>
  <c r="AK19" i="107"/>
  <c r="AJ19" i="107"/>
  <c r="AI19" i="107"/>
  <c r="AG19" i="107"/>
  <c r="AF19" i="107"/>
  <c r="AE19" i="107"/>
  <c r="AC19" i="107"/>
  <c r="AB19" i="107"/>
  <c r="AA19" i="107"/>
  <c r="Y19" i="107"/>
  <c r="X19" i="107"/>
  <c r="W19" i="107"/>
  <c r="U19" i="107"/>
  <c r="T19" i="107"/>
  <c r="S19" i="107"/>
  <c r="Q19" i="107"/>
  <c r="P19" i="107"/>
  <c r="O19" i="107"/>
  <c r="M19" i="107"/>
  <c r="AK18" i="107"/>
  <c r="AJ18" i="107"/>
  <c r="AI18" i="107"/>
  <c r="AG18" i="107"/>
  <c r="AF18" i="107"/>
  <c r="AE18" i="107"/>
  <c r="AC18" i="107"/>
  <c r="AB18" i="107"/>
  <c r="AA18" i="107"/>
  <c r="Y18" i="107"/>
  <c r="X18" i="107"/>
  <c r="W18" i="107"/>
  <c r="U18" i="107"/>
  <c r="T18" i="107"/>
  <c r="S18" i="107"/>
  <c r="Q18" i="107"/>
  <c r="P18" i="107"/>
  <c r="O18" i="107"/>
  <c r="M18" i="107"/>
  <c r="AK17" i="107"/>
  <c r="AJ17" i="107"/>
  <c r="AI17" i="107"/>
  <c r="AG17" i="107"/>
  <c r="AF17" i="107"/>
  <c r="AE17" i="107"/>
  <c r="AC17" i="107"/>
  <c r="AB17" i="107"/>
  <c r="AA17" i="107"/>
  <c r="Y17" i="107"/>
  <c r="X17" i="107"/>
  <c r="W17" i="107"/>
  <c r="U17" i="107"/>
  <c r="T17" i="107"/>
  <c r="S17" i="107"/>
  <c r="Q17" i="107"/>
  <c r="P17" i="107"/>
  <c r="O17" i="107"/>
  <c r="M17" i="107"/>
  <c r="AK16" i="107"/>
  <c r="AJ16" i="107"/>
  <c r="AI16" i="107"/>
  <c r="AG16" i="107"/>
  <c r="AF16" i="107"/>
  <c r="AE16" i="107"/>
  <c r="AC16" i="107"/>
  <c r="AB16" i="107"/>
  <c r="AA16" i="107"/>
  <c r="Y16" i="107"/>
  <c r="X16" i="107"/>
  <c r="W16" i="107"/>
  <c r="U16" i="107"/>
  <c r="T16" i="107"/>
  <c r="S16" i="107"/>
  <c r="Q16" i="107"/>
  <c r="P16" i="107"/>
  <c r="O16" i="107"/>
  <c r="M16" i="107"/>
  <c r="AK15" i="107"/>
  <c r="AJ15" i="107"/>
  <c r="AI15" i="107"/>
  <c r="AG15" i="107"/>
  <c r="AF15" i="107"/>
  <c r="AE15" i="107"/>
  <c r="AC15" i="107"/>
  <c r="AB15" i="107"/>
  <c r="AA15" i="107"/>
  <c r="Y15" i="107"/>
  <c r="X15" i="107"/>
  <c r="W15" i="107"/>
  <c r="U15" i="107"/>
  <c r="T15" i="107"/>
  <c r="S15" i="107"/>
  <c r="Q15" i="107"/>
  <c r="P15" i="107"/>
  <c r="O15" i="107"/>
  <c r="M15" i="107"/>
  <c r="A15" i="107"/>
  <c r="A16" i="107" s="1"/>
  <c r="A17" i="107" s="1"/>
  <c r="A18" i="107" s="1"/>
  <c r="A19" i="107" s="1"/>
  <c r="A20" i="107" s="1"/>
  <c r="A21" i="107" s="1"/>
  <c r="A22" i="107" s="1"/>
  <c r="A23" i="107" s="1"/>
  <c r="A24" i="107" s="1"/>
  <c r="A25" i="107" s="1"/>
  <c r="A26" i="107" s="1"/>
  <c r="A27" i="107" s="1"/>
  <c r="A28" i="107" s="1"/>
  <c r="A29" i="107" s="1"/>
  <c r="A30" i="107" s="1"/>
  <c r="A31" i="107" s="1"/>
  <c r="A32" i="107" s="1"/>
  <c r="A33" i="107" s="1"/>
  <c r="A34" i="107" s="1"/>
  <c r="A35" i="107" s="1"/>
  <c r="A36" i="107" s="1"/>
  <c r="A37" i="107" s="1"/>
  <c r="A38" i="107" s="1"/>
  <c r="A39" i="107" s="1"/>
  <c r="A40" i="107" s="1"/>
  <c r="A41" i="107" s="1"/>
  <c r="A42" i="107" s="1"/>
  <c r="A43" i="107" s="1"/>
  <c r="A44" i="107" s="1"/>
  <c r="A45" i="107" s="1"/>
  <c r="A46" i="107" s="1"/>
  <c r="A47" i="107" s="1"/>
  <c r="A48" i="107" s="1"/>
  <c r="A49" i="107" s="1"/>
  <c r="A50" i="107" s="1"/>
  <c r="A53" i="107" s="1"/>
  <c r="AK14" i="107"/>
  <c r="AJ14" i="107"/>
  <c r="AI14" i="107"/>
  <c r="AG14" i="107"/>
  <c r="AF14" i="107"/>
  <c r="AE14" i="107"/>
  <c r="AC14" i="107"/>
  <c r="AB14" i="107"/>
  <c r="AA14" i="107"/>
  <c r="Y14" i="107"/>
  <c r="X14" i="107"/>
  <c r="W14" i="107"/>
  <c r="U14" i="107"/>
  <c r="T14" i="107"/>
  <c r="S14" i="107"/>
  <c r="Q14" i="107"/>
  <c r="P14" i="107"/>
  <c r="O14" i="107"/>
  <c r="M14" i="107"/>
  <c r="L46" i="104"/>
  <c r="A45" i="104"/>
  <c r="N42" i="104"/>
  <c r="D42" i="104"/>
  <c r="N41" i="104"/>
  <c r="D41" i="104"/>
  <c r="R37" i="104"/>
  <c r="AB14" i="104" s="1"/>
  <c r="AB15" i="104" s="1"/>
  <c r="N37" i="104"/>
  <c r="AB13" i="104" s="1"/>
  <c r="AG35" i="104" s="1"/>
  <c r="H37" i="104"/>
  <c r="X14" i="104" s="1"/>
  <c r="X15" i="104" s="1"/>
  <c r="D37" i="104"/>
  <c r="X13" i="104" s="1"/>
  <c r="R36" i="104"/>
  <c r="N36" i="104"/>
  <c r="H36" i="104"/>
  <c r="D36" i="104"/>
  <c r="N22" i="104"/>
  <c r="D22" i="104"/>
  <c r="AI5" i="104"/>
  <c r="AH5" i="104"/>
  <c r="N21" i="104"/>
  <c r="D21" i="104"/>
  <c r="AI4" i="104"/>
  <c r="AH4" i="104"/>
  <c r="N20" i="104"/>
  <c r="D20" i="104"/>
  <c r="N19" i="104"/>
  <c r="D19" i="104"/>
  <c r="N18" i="104"/>
  <c r="D18" i="104"/>
  <c r="N17" i="104"/>
  <c r="D17" i="104"/>
  <c r="N16" i="104"/>
  <c r="D16" i="104"/>
  <c r="N15" i="104"/>
  <c r="D15" i="104"/>
  <c r="N14" i="104"/>
  <c r="D14" i="104"/>
  <c r="G10" i="104"/>
  <c r="S9" i="104"/>
  <c r="AC9" i="104" s="1"/>
  <c r="Q9" i="104"/>
  <c r="AA9" i="104"/>
  <c r="O9" i="104"/>
  <c r="Y9" i="104"/>
  <c r="K9" i="104"/>
  <c r="U9" i="104" s="1"/>
  <c r="U7" i="104"/>
  <c r="R7" i="104"/>
  <c r="AB7" i="104"/>
  <c r="O7" i="104"/>
  <c r="Y7" i="104" s="1"/>
  <c r="K7" i="104"/>
  <c r="U5" i="104"/>
  <c r="R5" i="104"/>
  <c r="AB5" i="104"/>
  <c r="O5" i="104"/>
  <c r="Y5" i="104"/>
  <c r="K5" i="104"/>
  <c r="D6" i="102"/>
  <c r="A8" i="102"/>
  <c r="A6" i="102"/>
  <c r="C10" i="102"/>
  <c r="T48" i="100"/>
  <c r="N48" i="100"/>
  <c r="M48" i="100"/>
  <c r="T47" i="100"/>
  <c r="N47" i="100"/>
  <c r="M47" i="100"/>
  <c r="T46" i="100"/>
  <c r="N46" i="100"/>
  <c r="M46" i="100"/>
  <c r="T45" i="100"/>
  <c r="N45" i="100"/>
  <c r="M45" i="100"/>
  <c r="T44" i="100"/>
  <c r="N44" i="100"/>
  <c r="M44" i="100"/>
  <c r="T43" i="100"/>
  <c r="N43" i="100"/>
  <c r="M43" i="100"/>
  <c r="T42" i="100"/>
  <c r="N42" i="100"/>
  <c r="M42" i="100"/>
  <c r="T41" i="100"/>
  <c r="N41" i="100"/>
  <c r="M41" i="100"/>
  <c r="T40" i="100"/>
  <c r="N40" i="100"/>
  <c r="M40" i="100"/>
  <c r="T39" i="100"/>
  <c r="N39" i="100"/>
  <c r="M39" i="100"/>
  <c r="T38" i="100"/>
  <c r="N38" i="100"/>
  <c r="M38" i="100"/>
  <c r="T37" i="100"/>
  <c r="N37" i="100"/>
  <c r="M37" i="100"/>
  <c r="T36" i="100"/>
  <c r="N36" i="100"/>
  <c r="M36" i="100"/>
  <c r="T35" i="100"/>
  <c r="N35" i="100"/>
  <c r="M35" i="100"/>
  <c r="T34" i="100"/>
  <c r="N34" i="100"/>
  <c r="M34" i="100"/>
  <c r="T33" i="100"/>
  <c r="N33" i="100"/>
  <c r="M33" i="100"/>
  <c r="T32" i="100"/>
  <c r="N32" i="100"/>
  <c r="M32" i="100"/>
  <c r="T31" i="100"/>
  <c r="N31" i="100"/>
  <c r="M31" i="100"/>
  <c r="T30" i="100"/>
  <c r="N30" i="100"/>
  <c r="M30" i="100"/>
  <c r="T29" i="100"/>
  <c r="N29" i="100"/>
  <c r="M29" i="100"/>
  <c r="T28" i="100"/>
  <c r="N28" i="100"/>
  <c r="M28" i="100"/>
  <c r="T27" i="100"/>
  <c r="N27" i="100"/>
  <c r="M27" i="100"/>
  <c r="T26" i="100"/>
  <c r="N26" i="100"/>
  <c r="M26" i="100"/>
  <c r="T25" i="100"/>
  <c r="N25" i="100"/>
  <c r="M25" i="100"/>
  <c r="T24" i="100"/>
  <c r="N24" i="100"/>
  <c r="M24" i="100"/>
  <c r="T23" i="100"/>
  <c r="N23" i="100"/>
  <c r="M23" i="100"/>
  <c r="T22" i="100"/>
  <c r="N22" i="100"/>
  <c r="M22" i="100"/>
  <c r="T21" i="100"/>
  <c r="N21" i="100"/>
  <c r="M21" i="100"/>
  <c r="T20" i="100"/>
  <c r="N20" i="100"/>
  <c r="M20" i="100"/>
  <c r="T19" i="100"/>
  <c r="N19" i="100"/>
  <c r="M19" i="100"/>
  <c r="T18" i="100"/>
  <c r="N18" i="100"/>
  <c r="M18" i="100"/>
  <c r="T17" i="100"/>
  <c r="N17" i="100"/>
  <c r="M17" i="100"/>
  <c r="T16" i="100"/>
  <c r="N16" i="100"/>
  <c r="M16" i="100"/>
  <c r="T15" i="100"/>
  <c r="N15" i="100"/>
  <c r="M15" i="100"/>
  <c r="S42" i="97"/>
  <c r="M42" i="97"/>
  <c r="L42" i="97"/>
  <c r="S41" i="97"/>
  <c r="M41" i="97"/>
  <c r="L41" i="97"/>
  <c r="S40" i="97"/>
  <c r="M40" i="97"/>
  <c r="L40" i="97"/>
  <c r="S39" i="97"/>
  <c r="M39" i="97"/>
  <c r="L39" i="97"/>
  <c r="S38" i="97"/>
  <c r="M38" i="97"/>
  <c r="L38" i="97"/>
  <c r="S37" i="97"/>
  <c r="M37" i="97"/>
  <c r="L37" i="97"/>
  <c r="S36" i="97"/>
  <c r="M36" i="97"/>
  <c r="L36" i="97"/>
  <c r="S35" i="97"/>
  <c r="M35" i="97"/>
  <c r="L35" i="97"/>
  <c r="S34" i="97"/>
  <c r="M34" i="97"/>
  <c r="L34" i="97"/>
  <c r="S33" i="97"/>
  <c r="M33" i="97"/>
  <c r="L33" i="97"/>
  <c r="S32" i="97"/>
  <c r="M32" i="97"/>
  <c r="L32" i="97"/>
  <c r="S31" i="97"/>
  <c r="M31" i="97"/>
  <c r="L31" i="97"/>
  <c r="S30" i="97"/>
  <c r="M30" i="97"/>
  <c r="L30" i="97"/>
  <c r="S29" i="97"/>
  <c r="M29" i="97"/>
  <c r="L29" i="97"/>
  <c r="S28" i="97"/>
  <c r="M28" i="97"/>
  <c r="L28" i="97"/>
  <c r="S27" i="97"/>
  <c r="M27" i="97"/>
  <c r="L27" i="97"/>
  <c r="S26" i="97"/>
  <c r="M26" i="97"/>
  <c r="L26" i="97"/>
  <c r="S25" i="97"/>
  <c r="M25" i="97"/>
  <c r="L25" i="97"/>
  <c r="S24" i="97"/>
  <c r="M24" i="97"/>
  <c r="L24" i="97"/>
  <c r="S23" i="97"/>
  <c r="M23" i="97"/>
  <c r="L23" i="97"/>
  <c r="S22" i="97"/>
  <c r="M22" i="97"/>
  <c r="L22" i="97"/>
  <c r="S21" i="97"/>
  <c r="M21" i="97"/>
  <c r="L21" i="97"/>
  <c r="S20" i="97"/>
  <c r="M20" i="97"/>
  <c r="L20" i="97"/>
  <c r="S19" i="97"/>
  <c r="M19" i="97"/>
  <c r="L19" i="97"/>
  <c r="S18" i="97"/>
  <c r="M18" i="97"/>
  <c r="L18" i="97"/>
  <c r="S17" i="97"/>
  <c r="M17" i="97"/>
  <c r="L17" i="97"/>
  <c r="S16" i="97"/>
  <c r="M16" i="97"/>
  <c r="L16" i="97"/>
  <c r="J18" i="91"/>
  <c r="J15" i="91"/>
  <c r="B21" i="91"/>
  <c r="B18" i="91"/>
  <c r="H15" i="91"/>
  <c r="B15" i="91"/>
  <c r="Q3" i="91"/>
  <c r="M3" i="91"/>
  <c r="D3" i="91"/>
  <c r="X11" i="40"/>
  <c r="AA48" i="33"/>
  <c r="Z48" i="33"/>
  <c r="Y48" i="33"/>
  <c r="X48" i="33"/>
  <c r="W48" i="33"/>
  <c r="AB48" i="33"/>
  <c r="V48" i="33"/>
  <c r="T48" i="33"/>
  <c r="S48" i="33"/>
  <c r="AA47" i="33"/>
  <c r="Z47" i="33"/>
  <c r="Y47" i="33"/>
  <c r="X47" i="33"/>
  <c r="W47" i="33"/>
  <c r="V47" i="33"/>
  <c r="T47" i="33"/>
  <c r="S47" i="33"/>
  <c r="AA46" i="33"/>
  <c r="Z46" i="33"/>
  <c r="Y46" i="33"/>
  <c r="X46" i="33"/>
  <c r="W46" i="33"/>
  <c r="V46" i="33"/>
  <c r="T46" i="33"/>
  <c r="S46" i="33"/>
  <c r="AA45" i="33"/>
  <c r="Z45" i="33"/>
  <c r="Y45" i="33"/>
  <c r="X45" i="33"/>
  <c r="W45" i="33"/>
  <c r="V45" i="33"/>
  <c r="T45" i="33"/>
  <c r="S45" i="33"/>
  <c r="AA44" i="33"/>
  <c r="Z44" i="33"/>
  <c r="Y44" i="33"/>
  <c r="X44" i="33"/>
  <c r="W44" i="33"/>
  <c r="V44" i="33"/>
  <c r="T44" i="33"/>
  <c r="S44" i="33"/>
  <c r="AA43" i="33"/>
  <c r="Z43" i="33"/>
  <c r="Y43" i="33"/>
  <c r="X43" i="33"/>
  <c r="W43" i="33"/>
  <c r="V43" i="33"/>
  <c r="T43" i="33"/>
  <c r="S43" i="33"/>
  <c r="AA42" i="33"/>
  <c r="Z42" i="33"/>
  <c r="Y42" i="33"/>
  <c r="X42" i="33"/>
  <c r="W42" i="33"/>
  <c r="V42" i="33"/>
  <c r="T42" i="33"/>
  <c r="S42" i="33"/>
  <c r="AA41" i="33"/>
  <c r="Z41" i="33"/>
  <c r="Y41" i="33"/>
  <c r="X41" i="33"/>
  <c r="W41" i="33"/>
  <c r="V41" i="33"/>
  <c r="AB41" i="33"/>
  <c r="T41" i="33"/>
  <c r="S41" i="33"/>
  <c r="AA40" i="33"/>
  <c r="Z40" i="33"/>
  <c r="Y40" i="33"/>
  <c r="X40" i="33"/>
  <c r="W40" i="33"/>
  <c r="V40" i="33"/>
  <c r="AB40" i="33" s="1"/>
  <c r="T40" i="33"/>
  <c r="S40" i="33"/>
  <c r="AA39" i="33"/>
  <c r="Z39" i="33"/>
  <c r="Y39" i="33"/>
  <c r="X39" i="33"/>
  <c r="W39" i="33"/>
  <c r="V39" i="33"/>
  <c r="T39" i="33"/>
  <c r="S39" i="33"/>
  <c r="AA38" i="33"/>
  <c r="Z38" i="33"/>
  <c r="Y38" i="33"/>
  <c r="X38" i="33"/>
  <c r="W38" i="33"/>
  <c r="V38" i="33"/>
  <c r="T38" i="33"/>
  <c r="S38" i="33"/>
  <c r="AA37" i="33"/>
  <c r="Z37" i="33"/>
  <c r="Y37" i="33"/>
  <c r="X37" i="33"/>
  <c r="W37" i="33"/>
  <c r="V37" i="33"/>
  <c r="T37" i="33"/>
  <c r="S37" i="33"/>
  <c r="AA36" i="33"/>
  <c r="Z36" i="33"/>
  <c r="Y36" i="33"/>
  <c r="X36" i="33"/>
  <c r="AB36" i="33" s="1"/>
  <c r="W36" i="33"/>
  <c r="V36" i="33"/>
  <c r="T36" i="33"/>
  <c r="S36" i="33"/>
  <c r="AA35" i="33"/>
  <c r="Z35" i="33"/>
  <c r="Y35" i="33"/>
  <c r="X35" i="33"/>
  <c r="W35" i="33"/>
  <c r="V35" i="33"/>
  <c r="T35" i="33"/>
  <c r="S35" i="33"/>
  <c r="AA34" i="33"/>
  <c r="Z34" i="33"/>
  <c r="Y34" i="33"/>
  <c r="X34" i="33"/>
  <c r="W34" i="33"/>
  <c r="V34" i="33"/>
  <c r="T34" i="33"/>
  <c r="S34" i="33"/>
  <c r="AA33" i="33"/>
  <c r="Z33" i="33"/>
  <c r="Y33" i="33"/>
  <c r="X33" i="33"/>
  <c r="W33" i="33"/>
  <c r="V33" i="33"/>
  <c r="T33" i="33"/>
  <c r="S33" i="33"/>
  <c r="AA32" i="33"/>
  <c r="Z32" i="33"/>
  <c r="Y32" i="33"/>
  <c r="X32" i="33"/>
  <c r="AB32" i="33" s="1"/>
  <c r="W32" i="33"/>
  <c r="V32" i="33"/>
  <c r="T32" i="33"/>
  <c r="S32" i="33"/>
  <c r="AA31" i="33"/>
  <c r="Z31" i="33"/>
  <c r="Y31" i="33"/>
  <c r="X31" i="33"/>
  <c r="W31" i="33"/>
  <c r="V31" i="33"/>
  <c r="T31" i="33"/>
  <c r="S31" i="33"/>
  <c r="AA30" i="33"/>
  <c r="Z30" i="33"/>
  <c r="Y30" i="33"/>
  <c r="X30" i="33"/>
  <c r="W30" i="33"/>
  <c r="AB30" i="33"/>
  <c r="V30" i="33"/>
  <c r="T30" i="33"/>
  <c r="S30" i="33"/>
  <c r="AA29" i="33"/>
  <c r="Z29" i="33"/>
  <c r="Y29" i="33"/>
  <c r="X29" i="33"/>
  <c r="W29" i="33"/>
  <c r="V29" i="33"/>
  <c r="T29" i="33"/>
  <c r="S29" i="33"/>
  <c r="AA28" i="33"/>
  <c r="Z28" i="33"/>
  <c r="Y28" i="33"/>
  <c r="X28" i="33"/>
  <c r="W28" i="33"/>
  <c r="V28" i="33"/>
  <c r="T28" i="33"/>
  <c r="S28" i="33"/>
  <c r="AA27" i="33"/>
  <c r="Z27" i="33"/>
  <c r="Y27" i="33"/>
  <c r="X27" i="33"/>
  <c r="W27" i="33"/>
  <c r="V27" i="33"/>
  <c r="AB27" i="33"/>
  <c r="T27" i="33"/>
  <c r="S27" i="33"/>
  <c r="AA26" i="33"/>
  <c r="Z26" i="33"/>
  <c r="Y26" i="33"/>
  <c r="X26" i="33"/>
  <c r="W26" i="33"/>
  <c r="V26" i="33"/>
  <c r="AB26" i="33" s="1"/>
  <c r="T26" i="33"/>
  <c r="S26" i="33"/>
  <c r="AA25" i="33"/>
  <c r="Z25" i="33"/>
  <c r="Y25" i="33"/>
  <c r="X25" i="33"/>
  <c r="W25" i="33"/>
  <c r="AB25" i="33" s="1"/>
  <c r="V25" i="33"/>
  <c r="T25" i="33"/>
  <c r="S25" i="33"/>
  <c r="AA24" i="33"/>
  <c r="Z24" i="33"/>
  <c r="Y24" i="33"/>
  <c r="X24" i="33"/>
  <c r="AB24" i="33" s="1"/>
  <c r="W24" i="33"/>
  <c r="V24" i="33"/>
  <c r="T24" i="33"/>
  <c r="S24" i="33"/>
  <c r="AA23" i="33"/>
  <c r="Z23" i="33"/>
  <c r="Y23" i="33"/>
  <c r="AB23" i="33" s="1"/>
  <c r="X23" i="33"/>
  <c r="W23" i="33"/>
  <c r="V23" i="33"/>
  <c r="T23" i="33"/>
  <c r="S23" i="33"/>
  <c r="AA22" i="33"/>
  <c r="Z22" i="33"/>
  <c r="Y22" i="33"/>
  <c r="X22" i="33"/>
  <c r="W22" i="33"/>
  <c r="V22" i="33"/>
  <c r="T22" i="33"/>
  <c r="S22" i="33"/>
  <c r="AA21" i="33"/>
  <c r="Z21" i="33"/>
  <c r="Y21" i="33"/>
  <c r="X21" i="33"/>
  <c r="W21" i="33"/>
  <c r="V21" i="33"/>
  <c r="AB21" i="33" s="1"/>
  <c r="T21" i="33"/>
  <c r="S21" i="33"/>
  <c r="AA20" i="33"/>
  <c r="Z20" i="33"/>
  <c r="Y20" i="33"/>
  <c r="AB20" i="33" s="1"/>
  <c r="X20" i="33"/>
  <c r="W20" i="33"/>
  <c r="V20" i="33"/>
  <c r="T20" i="33"/>
  <c r="S20" i="33"/>
  <c r="AA19" i="33"/>
  <c r="Z19" i="33"/>
  <c r="Y19" i="33"/>
  <c r="X19" i="33"/>
  <c r="W19" i="33"/>
  <c r="V19" i="33"/>
  <c r="T19" i="33"/>
  <c r="S19" i="33"/>
  <c r="AA18" i="33"/>
  <c r="Z18" i="33"/>
  <c r="Y18" i="33"/>
  <c r="X18" i="33"/>
  <c r="W18" i="33"/>
  <c r="V18" i="33"/>
  <c r="T18" i="33"/>
  <c r="S18" i="33"/>
  <c r="AA17" i="33"/>
  <c r="Z17" i="33"/>
  <c r="Y17" i="33"/>
  <c r="X17" i="33"/>
  <c r="W17" i="33"/>
  <c r="V17" i="33"/>
  <c r="T17" i="33"/>
  <c r="S17" i="33"/>
  <c r="AA16" i="33"/>
  <c r="Z16" i="33"/>
  <c r="Y16" i="33"/>
  <c r="X16" i="33"/>
  <c r="W16" i="33"/>
  <c r="V16" i="33"/>
  <c r="AB16" i="33" s="1"/>
  <c r="T16" i="33"/>
  <c r="S16" i="33"/>
  <c r="AA15" i="33"/>
  <c r="Z15" i="33"/>
  <c r="Y15" i="33"/>
  <c r="X15" i="33"/>
  <c r="W15" i="33"/>
  <c r="V15" i="33"/>
  <c r="AB15" i="33" s="1"/>
  <c r="T15" i="33"/>
  <c r="S15" i="33"/>
  <c r="AA14" i="33"/>
  <c r="Z14" i="33"/>
  <c r="Y14" i="33"/>
  <c r="X14" i="33"/>
  <c r="W14" i="33"/>
  <c r="V14" i="33"/>
  <c r="AB14" i="33" s="1"/>
  <c r="T14" i="33"/>
  <c r="S14" i="33"/>
  <c r="AA13" i="33"/>
  <c r="Z13" i="33"/>
  <c r="Y13" i="33"/>
  <c r="X13" i="33"/>
  <c r="W13" i="33"/>
  <c r="V13" i="33"/>
  <c r="T13" i="33"/>
  <c r="S13" i="33"/>
  <c r="AA12" i="33"/>
  <c r="Z12" i="33"/>
  <c r="Y12" i="33"/>
  <c r="X12" i="33"/>
  <c r="W12" i="33"/>
  <c r="AB12" i="33" s="1"/>
  <c r="V12" i="33"/>
  <c r="T12" i="33"/>
  <c r="S12" i="33"/>
  <c r="AA11" i="33"/>
  <c r="Z11" i="33"/>
  <c r="Y11" i="33"/>
  <c r="X11" i="33"/>
  <c r="W11" i="33"/>
  <c r="V11" i="33"/>
  <c r="AB11" i="33" s="1"/>
  <c r="T11" i="33"/>
  <c r="S11" i="33"/>
  <c r="AB51" i="31"/>
  <c r="AA51" i="31"/>
  <c r="Z51" i="31"/>
  <c r="Y51" i="31"/>
  <c r="X51" i="31"/>
  <c r="W51" i="31"/>
  <c r="T51" i="31"/>
  <c r="S51" i="31"/>
  <c r="AB50" i="31"/>
  <c r="AA50" i="31"/>
  <c r="AC50" i="31" s="1"/>
  <c r="Z50" i="31"/>
  <c r="Y50" i="31"/>
  <c r="X50" i="31"/>
  <c r="W50" i="31"/>
  <c r="T50" i="31"/>
  <c r="S50" i="31"/>
  <c r="AB49" i="31"/>
  <c r="AA49" i="31"/>
  <c r="Z49" i="31"/>
  <c r="Y49" i="31"/>
  <c r="X49" i="31"/>
  <c r="W49" i="31"/>
  <c r="AC49" i="31" s="1"/>
  <c r="T49" i="31"/>
  <c r="S49" i="31"/>
  <c r="AB48" i="31"/>
  <c r="AA48" i="31"/>
  <c r="Z48" i="31"/>
  <c r="Y48" i="31"/>
  <c r="X48" i="31"/>
  <c r="AC48" i="31" s="1"/>
  <c r="W48" i="31"/>
  <c r="T48" i="31"/>
  <c r="S48" i="31"/>
  <c r="AB47" i="31"/>
  <c r="AA47" i="31"/>
  <c r="Z47" i="31"/>
  <c r="Y47" i="31"/>
  <c r="X47" i="31"/>
  <c r="W47" i="31"/>
  <c r="T47" i="31"/>
  <c r="S47" i="31"/>
  <c r="AB46" i="31"/>
  <c r="AA46" i="31"/>
  <c r="Z46" i="31"/>
  <c r="Y46" i="31"/>
  <c r="X46" i="31"/>
  <c r="W46" i="31"/>
  <c r="AC46" i="31" s="1"/>
  <c r="T46" i="31"/>
  <c r="S46" i="31"/>
  <c r="AB45" i="31"/>
  <c r="AA45" i="31"/>
  <c r="Z45" i="31"/>
  <c r="Y45" i="31"/>
  <c r="X45" i="31"/>
  <c r="W45" i="31"/>
  <c r="AC45" i="31" s="1"/>
  <c r="T45" i="31"/>
  <c r="S45" i="31"/>
  <c r="AB44" i="31"/>
  <c r="AA44" i="31"/>
  <c r="Z44" i="31"/>
  <c r="Y44" i="31"/>
  <c r="X44" i="31"/>
  <c r="AC44" i="31" s="1"/>
  <c r="W44" i="31"/>
  <c r="T44" i="31"/>
  <c r="S44" i="31"/>
  <c r="AB43" i="31"/>
  <c r="AA43" i="31"/>
  <c r="Z43" i="31"/>
  <c r="Y43" i="31"/>
  <c r="AC43" i="31" s="1"/>
  <c r="X43" i="31"/>
  <c r="W43" i="31"/>
  <c r="T43" i="31"/>
  <c r="S43" i="31"/>
  <c r="AB42" i="31"/>
  <c r="AA42" i="31"/>
  <c r="Z42" i="31"/>
  <c r="Y42" i="31"/>
  <c r="X42" i="31"/>
  <c r="W42" i="31"/>
  <c r="T42" i="31"/>
  <c r="S42" i="31"/>
  <c r="AB41" i="31"/>
  <c r="AA41" i="31"/>
  <c r="Z41" i="31"/>
  <c r="Y41" i="31"/>
  <c r="X41" i="31"/>
  <c r="W41" i="31"/>
  <c r="T41" i="31"/>
  <c r="S41" i="31"/>
  <c r="AB40" i="31"/>
  <c r="AA40" i="31"/>
  <c r="Z40" i="31"/>
  <c r="Y40" i="31"/>
  <c r="X40" i="31"/>
  <c r="W40" i="31"/>
  <c r="T40" i="31"/>
  <c r="S40" i="31"/>
  <c r="AB39" i="31"/>
  <c r="AA39" i="31"/>
  <c r="Z39" i="31"/>
  <c r="Y39" i="31"/>
  <c r="X39" i="31"/>
  <c r="W39" i="31"/>
  <c r="T39" i="31"/>
  <c r="S39" i="31"/>
  <c r="AB38" i="31"/>
  <c r="AA38" i="31"/>
  <c r="Z38" i="31"/>
  <c r="Y38" i="31"/>
  <c r="X38" i="31"/>
  <c r="W38" i="31"/>
  <c r="T38" i="31"/>
  <c r="S38" i="31"/>
  <c r="AB37" i="31"/>
  <c r="AA37" i="31"/>
  <c r="Z37" i="31"/>
  <c r="Y37" i="31"/>
  <c r="X37" i="31"/>
  <c r="W37" i="31"/>
  <c r="T37" i="31"/>
  <c r="S37" i="31"/>
  <c r="AB36" i="31"/>
  <c r="AA36" i="31"/>
  <c r="Z36" i="31"/>
  <c r="Y36" i="31"/>
  <c r="X36" i="31"/>
  <c r="W36" i="31"/>
  <c r="T36" i="31"/>
  <c r="S36" i="31"/>
  <c r="AB35" i="31"/>
  <c r="AA35" i="31"/>
  <c r="Z35" i="31"/>
  <c r="Y35" i="31"/>
  <c r="X35" i="31"/>
  <c r="W35" i="31"/>
  <c r="T35" i="31"/>
  <c r="S35" i="31"/>
  <c r="AB34" i="31"/>
  <c r="AA34" i="31"/>
  <c r="Z34" i="31"/>
  <c r="Y34" i="31"/>
  <c r="X34" i="31"/>
  <c r="W34" i="31"/>
  <c r="AC34" i="31" s="1"/>
  <c r="T34" i="31"/>
  <c r="S34" i="31"/>
  <c r="AB33" i="31"/>
  <c r="AA33" i="31"/>
  <c r="Z33" i="31"/>
  <c r="Y33" i="31"/>
  <c r="X33" i="31"/>
  <c r="W33" i="31"/>
  <c r="T33" i="31"/>
  <c r="S33" i="31"/>
  <c r="AB32" i="31"/>
  <c r="AA32" i="31"/>
  <c r="Z32" i="31"/>
  <c r="Y32" i="31"/>
  <c r="X32" i="31"/>
  <c r="W32" i="31"/>
  <c r="T32" i="31"/>
  <c r="S32" i="31"/>
  <c r="AB31" i="31"/>
  <c r="AA31" i="31"/>
  <c r="Z31" i="31"/>
  <c r="Y31" i="31"/>
  <c r="X31" i="31"/>
  <c r="W31" i="31"/>
  <c r="T31" i="31"/>
  <c r="S31" i="31"/>
  <c r="AB30" i="31"/>
  <c r="AA30" i="31"/>
  <c r="Z30" i="31"/>
  <c r="Y30" i="31"/>
  <c r="X30" i="31"/>
  <c r="W30" i="31"/>
  <c r="T30" i="31"/>
  <c r="S30" i="31"/>
  <c r="AB29" i="31"/>
  <c r="AA29" i="31"/>
  <c r="Z29" i="31"/>
  <c r="Y29" i="31"/>
  <c r="X29" i="31"/>
  <c r="W29" i="31"/>
  <c r="T29" i="31"/>
  <c r="S29" i="31"/>
  <c r="AB28" i="31"/>
  <c r="AA28" i="31"/>
  <c r="Z28" i="31"/>
  <c r="Y28" i="31"/>
  <c r="X28" i="31"/>
  <c r="W28" i="31"/>
  <c r="AC28" i="31"/>
  <c r="T28" i="31"/>
  <c r="S28" i="31"/>
  <c r="AB27" i="31"/>
  <c r="AA27" i="31"/>
  <c r="Z27" i="31"/>
  <c r="Y27" i="31"/>
  <c r="X27" i="31"/>
  <c r="AC27" i="31"/>
  <c r="W27" i="31"/>
  <c r="T27" i="31"/>
  <c r="S27" i="31"/>
  <c r="AB26" i="31"/>
  <c r="AA26" i="31"/>
  <c r="Z26" i="31"/>
  <c r="Y26" i="31"/>
  <c r="X26" i="31"/>
  <c r="AC26" i="31" s="1"/>
  <c r="W26" i="31"/>
  <c r="T26" i="31"/>
  <c r="S26" i="31"/>
  <c r="AB25" i="31"/>
  <c r="AA25" i="31"/>
  <c r="Z25" i="31"/>
  <c r="Y25" i="31"/>
  <c r="X25" i="31"/>
  <c r="W25" i="31"/>
  <c r="T25" i="31"/>
  <c r="S25" i="31"/>
  <c r="AB24" i="31"/>
  <c r="AA24" i="31"/>
  <c r="Z24" i="31"/>
  <c r="Y24" i="31"/>
  <c r="X24" i="31"/>
  <c r="W24" i="31"/>
  <c r="T24" i="31"/>
  <c r="S24" i="31"/>
  <c r="AB23" i="31"/>
  <c r="AA23" i="31"/>
  <c r="Z23" i="31"/>
  <c r="AC23" i="31" s="1"/>
  <c r="Y23" i="31"/>
  <c r="X23" i="31"/>
  <c r="W23" i="31"/>
  <c r="T23" i="31"/>
  <c r="S23" i="31"/>
  <c r="AB22" i="31"/>
  <c r="AA22" i="31"/>
  <c r="Z22" i="31"/>
  <c r="Y22" i="31"/>
  <c r="X22" i="31"/>
  <c r="W22" i="31"/>
  <c r="T22" i="31"/>
  <c r="S22" i="31"/>
  <c r="AB21" i="31"/>
  <c r="AA21" i="31"/>
  <c r="Z21" i="31"/>
  <c r="Y21" i="31"/>
  <c r="X21" i="31"/>
  <c r="W21" i="31"/>
  <c r="T21" i="31"/>
  <c r="S21" i="31"/>
  <c r="AB20" i="31"/>
  <c r="AA20" i="31"/>
  <c r="Z20" i="31"/>
  <c r="AC20" i="31" s="1"/>
  <c r="Y20" i="31"/>
  <c r="X20" i="31"/>
  <c r="W20" i="31"/>
  <c r="T20" i="31"/>
  <c r="S20" i="31"/>
  <c r="AB19" i="31"/>
  <c r="AA19" i="31"/>
  <c r="Z19" i="31"/>
  <c r="Y19" i="31"/>
  <c r="X19" i="31"/>
  <c r="W19" i="31"/>
  <c r="T19" i="31"/>
  <c r="S19" i="31"/>
  <c r="AB18" i="31"/>
  <c r="AA18" i="31"/>
  <c r="Z18" i="31"/>
  <c r="Y18" i="31"/>
  <c r="X18" i="31"/>
  <c r="W18" i="31"/>
  <c r="AC18" i="31"/>
  <c r="T18" i="31"/>
  <c r="S18" i="31"/>
  <c r="AB17" i="31"/>
  <c r="AA17" i="31"/>
  <c r="Z17" i="31"/>
  <c r="Y17" i="31"/>
  <c r="X17" i="31"/>
  <c r="W17" i="31"/>
  <c r="T17" i="31"/>
  <c r="S17" i="31"/>
  <c r="AB16" i="31"/>
  <c r="AA16" i="31"/>
  <c r="Z16" i="31"/>
  <c r="Y16" i="31"/>
  <c r="X16" i="31"/>
  <c r="AC16" i="31"/>
  <c r="W16" i="31"/>
  <c r="T16" i="31"/>
  <c r="S16" i="31"/>
  <c r="AB15" i="31"/>
  <c r="AA15" i="31"/>
  <c r="Z15" i="31"/>
  <c r="Y15" i="31"/>
  <c r="X15" i="31"/>
  <c r="W15" i="31"/>
  <c r="T15" i="31"/>
  <c r="S15" i="31"/>
  <c r="AB14" i="31"/>
  <c r="AA14" i="31"/>
  <c r="Z14" i="31"/>
  <c r="Y14" i="31"/>
  <c r="X14" i="31"/>
  <c r="W14" i="31"/>
  <c r="T14" i="31"/>
  <c r="S14" i="31"/>
  <c r="AB13" i="31"/>
  <c r="AA13" i="31"/>
  <c r="Z13" i="31"/>
  <c r="Y13" i="31"/>
  <c r="X13" i="31"/>
  <c r="W13" i="31"/>
  <c r="T13" i="31"/>
  <c r="S13" i="31"/>
  <c r="W12" i="31"/>
  <c r="X12" i="31"/>
  <c r="Y12" i="31"/>
  <c r="Z12" i="31"/>
  <c r="AA12" i="31"/>
  <c r="AB12" i="31"/>
  <c r="S12" i="31"/>
  <c r="T12" i="31"/>
  <c r="X11" i="31"/>
  <c r="Y11" i="31"/>
  <c r="Z11" i="31"/>
  <c r="AA11" i="31"/>
  <c r="AB11" i="31"/>
  <c r="W11" i="31"/>
  <c r="Q13" i="32"/>
  <c r="R13" i="32"/>
  <c r="T13" i="32"/>
  <c r="U13" i="32"/>
  <c r="Z13" i="32" s="1"/>
  <c r="V13" i="32"/>
  <c r="W13" i="32"/>
  <c r="X13" i="32"/>
  <c r="Y13" i="32"/>
  <c r="Q14" i="32"/>
  <c r="R14" i="32"/>
  <c r="T14" i="32"/>
  <c r="U14" i="32"/>
  <c r="V14" i="32"/>
  <c r="W14" i="32"/>
  <c r="X14" i="32"/>
  <c r="Y14" i="32"/>
  <c r="Q15" i="32"/>
  <c r="R15" i="32"/>
  <c r="T15" i="32"/>
  <c r="U15" i="32"/>
  <c r="V15" i="32"/>
  <c r="W15" i="32"/>
  <c r="X15" i="32"/>
  <c r="Y15" i="32"/>
  <c r="Q16" i="32"/>
  <c r="R16" i="32"/>
  <c r="T16" i="32"/>
  <c r="Z16" i="32" s="1"/>
  <c r="U16" i="32"/>
  <c r="V16" i="32"/>
  <c r="W16" i="32"/>
  <c r="X16" i="32"/>
  <c r="Y16" i="32"/>
  <c r="Q17" i="32"/>
  <c r="R17" i="32"/>
  <c r="T17" i="32"/>
  <c r="U17" i="32"/>
  <c r="V17" i="32"/>
  <c r="W17" i="32"/>
  <c r="X17" i="32"/>
  <c r="Y17" i="32"/>
  <c r="Q18" i="32"/>
  <c r="R18" i="32"/>
  <c r="T18" i="32"/>
  <c r="U18" i="32"/>
  <c r="Z18" i="32" s="1"/>
  <c r="V18" i="32"/>
  <c r="W18" i="32"/>
  <c r="X18" i="32"/>
  <c r="Y18" i="32"/>
  <c r="Q19" i="32"/>
  <c r="R19" i="32"/>
  <c r="T19" i="32"/>
  <c r="U19" i="32"/>
  <c r="V19" i="32"/>
  <c r="W19" i="32"/>
  <c r="X19" i="32"/>
  <c r="Y19" i="32"/>
  <c r="Q20" i="32"/>
  <c r="R20" i="32"/>
  <c r="T20" i="32"/>
  <c r="U20" i="32"/>
  <c r="V20" i="32"/>
  <c r="W20" i="32"/>
  <c r="X20" i="32"/>
  <c r="Y20" i="32"/>
  <c r="Q21" i="32"/>
  <c r="R21" i="32"/>
  <c r="T21" i="32"/>
  <c r="U21" i="32"/>
  <c r="V21" i="32"/>
  <c r="W21" i="32"/>
  <c r="X21" i="32"/>
  <c r="Y21" i="32"/>
  <c r="Q22" i="32"/>
  <c r="R22" i="32"/>
  <c r="T22" i="32"/>
  <c r="U22" i="32"/>
  <c r="V22" i="32"/>
  <c r="W22" i="32"/>
  <c r="X22" i="32"/>
  <c r="Y22" i="32"/>
  <c r="Q23" i="32"/>
  <c r="R23" i="32"/>
  <c r="T23" i="32"/>
  <c r="U23" i="32"/>
  <c r="V23" i="32"/>
  <c r="W23" i="32"/>
  <c r="X23" i="32"/>
  <c r="Y23" i="32"/>
  <c r="Q24" i="32"/>
  <c r="R24" i="32"/>
  <c r="T24" i="32"/>
  <c r="U24" i="32"/>
  <c r="V24" i="32"/>
  <c r="W24" i="32"/>
  <c r="X24" i="32"/>
  <c r="Y24" i="32"/>
  <c r="Q25" i="32"/>
  <c r="R25" i="32"/>
  <c r="T25" i="32"/>
  <c r="U25" i="32"/>
  <c r="V25" i="32"/>
  <c r="W25" i="32"/>
  <c r="X25" i="32"/>
  <c r="Y25" i="32"/>
  <c r="Z25" i="32" s="1"/>
  <c r="Q26" i="32"/>
  <c r="R26" i="32"/>
  <c r="T26" i="32"/>
  <c r="U26" i="32"/>
  <c r="V26" i="32"/>
  <c r="W26" i="32"/>
  <c r="X26" i="32"/>
  <c r="Y26" i="32"/>
  <c r="Q27" i="32"/>
  <c r="R27" i="32"/>
  <c r="T27" i="32"/>
  <c r="U27" i="32"/>
  <c r="V27" i="32"/>
  <c r="W27" i="32"/>
  <c r="X27" i="32"/>
  <c r="Y27" i="32"/>
  <c r="Q28" i="32"/>
  <c r="R28" i="32"/>
  <c r="T28" i="32"/>
  <c r="U28" i="32"/>
  <c r="V28" i="32"/>
  <c r="W28" i="32"/>
  <c r="X28" i="32"/>
  <c r="Y28" i="32"/>
  <c r="Q29" i="32"/>
  <c r="R29" i="32"/>
  <c r="T29" i="32"/>
  <c r="U29" i="32"/>
  <c r="V29" i="32"/>
  <c r="W29" i="32"/>
  <c r="X29" i="32"/>
  <c r="Y29" i="32"/>
  <c r="Q30" i="32"/>
  <c r="R30" i="32"/>
  <c r="T30" i="32"/>
  <c r="U30" i="32"/>
  <c r="V30" i="32"/>
  <c r="W30" i="32"/>
  <c r="X30" i="32"/>
  <c r="Y30" i="32"/>
  <c r="Q31" i="32"/>
  <c r="R31" i="32"/>
  <c r="T31" i="32"/>
  <c r="U31" i="32"/>
  <c r="V31" i="32"/>
  <c r="W31" i="32"/>
  <c r="X31" i="32"/>
  <c r="Y31" i="32"/>
  <c r="Q32" i="32"/>
  <c r="R32" i="32"/>
  <c r="T32" i="32"/>
  <c r="U32" i="32"/>
  <c r="V32" i="32"/>
  <c r="Z32" i="32" s="1"/>
  <c r="W32" i="32"/>
  <c r="X32" i="32"/>
  <c r="Y32" i="32"/>
  <c r="Q33" i="32"/>
  <c r="R33" i="32"/>
  <c r="T33" i="32"/>
  <c r="U33" i="32"/>
  <c r="V33" i="32"/>
  <c r="Z33" i="32" s="1"/>
  <c r="W33" i="32"/>
  <c r="X33" i="32"/>
  <c r="Y33" i="32"/>
  <c r="Q34" i="32"/>
  <c r="R34" i="32"/>
  <c r="T34" i="32"/>
  <c r="U34" i="32"/>
  <c r="V34" i="32"/>
  <c r="Z34" i="32" s="1"/>
  <c r="W34" i="32"/>
  <c r="X34" i="32"/>
  <c r="Y34" i="32"/>
  <c r="Q35" i="32"/>
  <c r="R35" i="32"/>
  <c r="T35" i="32"/>
  <c r="U35" i="32"/>
  <c r="V35" i="32"/>
  <c r="W35" i="32"/>
  <c r="X35" i="32"/>
  <c r="Y35" i="32"/>
  <c r="Q36" i="32"/>
  <c r="R36" i="32"/>
  <c r="T36" i="32"/>
  <c r="U36" i="32"/>
  <c r="Z36" i="32" s="1"/>
  <c r="V36" i="32"/>
  <c r="W36" i="32"/>
  <c r="X36" i="32"/>
  <c r="Y36" i="32"/>
  <c r="Q37" i="32"/>
  <c r="R37" i="32"/>
  <c r="T37" i="32"/>
  <c r="U37" i="32"/>
  <c r="Z37" i="32" s="1"/>
  <c r="V37" i="32"/>
  <c r="W37" i="32"/>
  <c r="X37" i="32"/>
  <c r="Y37" i="32"/>
  <c r="Q38" i="32"/>
  <c r="R38" i="32"/>
  <c r="T38" i="32"/>
  <c r="U38" i="32"/>
  <c r="Z38" i="32" s="1"/>
  <c r="V38" i="32"/>
  <c r="W38" i="32"/>
  <c r="X38" i="32"/>
  <c r="Y38" i="32"/>
  <c r="Q39" i="32"/>
  <c r="R39" i="32"/>
  <c r="T39" i="32"/>
  <c r="U39" i="32"/>
  <c r="V39" i="32"/>
  <c r="W39" i="32"/>
  <c r="X39" i="32"/>
  <c r="Y39" i="32"/>
  <c r="Q40" i="32"/>
  <c r="R40" i="32"/>
  <c r="T40" i="32"/>
  <c r="U40" i="32"/>
  <c r="Z40" i="32" s="1"/>
  <c r="V40" i="32"/>
  <c r="W40" i="32"/>
  <c r="X40" i="32"/>
  <c r="Y40" i="32"/>
  <c r="Q41" i="32"/>
  <c r="R41" i="32"/>
  <c r="T41" i="32"/>
  <c r="U41" i="32"/>
  <c r="Z41" i="32" s="1"/>
  <c r="V41" i="32"/>
  <c r="W41" i="32"/>
  <c r="X41" i="32"/>
  <c r="Y41" i="32"/>
  <c r="Q42" i="32"/>
  <c r="R42" i="32"/>
  <c r="T42" i="32"/>
  <c r="U42" i="32"/>
  <c r="V42" i="32"/>
  <c r="W42" i="32"/>
  <c r="X42" i="32"/>
  <c r="Y42" i="32"/>
  <c r="Q43" i="32"/>
  <c r="R43" i="32"/>
  <c r="T43" i="32"/>
  <c r="U43" i="32"/>
  <c r="V43" i="32"/>
  <c r="W43" i="32"/>
  <c r="X43" i="32"/>
  <c r="Y43" i="32"/>
  <c r="Q44" i="32"/>
  <c r="R44" i="32"/>
  <c r="T44" i="32"/>
  <c r="U44" i="32"/>
  <c r="V44" i="32"/>
  <c r="W44" i="32"/>
  <c r="X44" i="32"/>
  <c r="Y44" i="32"/>
  <c r="Q45" i="32"/>
  <c r="R45" i="32"/>
  <c r="T45" i="32"/>
  <c r="U45" i="32"/>
  <c r="V45" i="32"/>
  <c r="W45" i="32"/>
  <c r="X45" i="32"/>
  <c r="Y45" i="32"/>
  <c r="Q46" i="32"/>
  <c r="R46" i="32"/>
  <c r="T46" i="32"/>
  <c r="U46" i="32"/>
  <c r="V46" i="32"/>
  <c r="W46" i="32"/>
  <c r="X46" i="32"/>
  <c r="Y46" i="32"/>
  <c r="Q47" i="32"/>
  <c r="R47" i="32"/>
  <c r="T47" i="32"/>
  <c r="U47" i="32"/>
  <c r="V47" i="32"/>
  <c r="W47" i="32"/>
  <c r="X47" i="32"/>
  <c r="Y47" i="32"/>
  <c r="T48" i="32"/>
  <c r="U48" i="32"/>
  <c r="V48" i="32"/>
  <c r="W48" i="32"/>
  <c r="X48" i="32"/>
  <c r="Y48" i="32"/>
  <c r="Q48" i="32"/>
  <c r="R48" i="32"/>
  <c r="Y12" i="32"/>
  <c r="X12" i="32"/>
  <c r="W12" i="32"/>
  <c r="V12" i="32"/>
  <c r="U12" i="32"/>
  <c r="Z12" i="32" s="1"/>
  <c r="T12" i="32"/>
  <c r="R12" i="32"/>
  <c r="Q12" i="32"/>
  <c r="Y11" i="32"/>
  <c r="X11" i="32"/>
  <c r="W11" i="32"/>
  <c r="V11" i="32"/>
  <c r="U11" i="32"/>
  <c r="T11" i="32"/>
  <c r="R11" i="32"/>
  <c r="Q11" i="32"/>
  <c r="C18" i="42"/>
  <c r="C31" i="42"/>
  <c r="D18" i="42"/>
  <c r="R92" i="42"/>
  <c r="E18" i="42"/>
  <c r="E31" i="42" s="1"/>
  <c r="F18" i="42"/>
  <c r="G18" i="42"/>
  <c r="G31" i="42" s="1"/>
  <c r="H18" i="42"/>
  <c r="H31" i="42" s="1"/>
  <c r="I18" i="42"/>
  <c r="I31" i="42"/>
  <c r="J18" i="42"/>
  <c r="Y218" i="42"/>
  <c r="K18" i="42"/>
  <c r="K31" i="42" s="1"/>
  <c r="L18" i="42"/>
  <c r="AA218" i="42" s="1"/>
  <c r="N30" i="42"/>
  <c r="S45" i="42"/>
  <c r="C19" i="42"/>
  <c r="Q93" i="42"/>
  <c r="C24" i="42"/>
  <c r="N24" i="42" s="1"/>
  <c r="C29" i="42"/>
  <c r="AI16" i="43"/>
  <c r="D46" i="44"/>
  <c r="E46" i="44"/>
  <c r="AK37" i="44" s="1"/>
  <c r="F46" i="44"/>
  <c r="G46" i="44"/>
  <c r="H46" i="44"/>
  <c r="AN37" i="44" s="1"/>
  <c r="I46" i="44"/>
  <c r="AO37" i="44"/>
  <c r="J46" i="44"/>
  <c r="AP37" i="44" s="1"/>
  <c r="K46" i="44"/>
  <c r="L46" i="44"/>
  <c r="AR37" i="44" s="1"/>
  <c r="C30" i="44"/>
  <c r="M30" i="44"/>
  <c r="C10" i="44"/>
  <c r="AI14" i="44" s="1"/>
  <c r="R52" i="44"/>
  <c r="W52" i="44"/>
  <c r="G52" i="44"/>
  <c r="AR15" i="44"/>
  <c r="AQ15" i="44"/>
  <c r="AP15" i="44"/>
  <c r="AO15" i="44"/>
  <c r="AN15" i="44"/>
  <c r="AM15" i="44"/>
  <c r="AL15" i="44"/>
  <c r="AK15" i="44"/>
  <c r="AJ15" i="44"/>
  <c r="AI15" i="44"/>
  <c r="D44" i="44"/>
  <c r="E44" i="44" s="1"/>
  <c r="F44" i="44" s="1"/>
  <c r="G44" i="44" s="1"/>
  <c r="H44" i="44" s="1"/>
  <c r="I44" i="44" s="1"/>
  <c r="J44" i="44" s="1"/>
  <c r="K44" i="44" s="1"/>
  <c r="L44" i="44" s="1"/>
  <c r="AL37" i="44"/>
  <c r="AI37" i="44"/>
  <c r="AJ34" i="44"/>
  <c r="AK34" i="44"/>
  <c r="AL34" i="44"/>
  <c r="AM34" i="44" s="1"/>
  <c r="AN34" i="44" s="1"/>
  <c r="AO34" i="44" s="1"/>
  <c r="AP34" i="44" s="1"/>
  <c r="AQ34" i="44" s="1"/>
  <c r="AR34" i="44" s="1"/>
  <c r="AJ12" i="44"/>
  <c r="AK12" i="44" s="1"/>
  <c r="AL12" i="44" s="1"/>
  <c r="AM12" i="44" s="1"/>
  <c r="AN12" i="44" s="1"/>
  <c r="AO12" i="44" s="1"/>
  <c r="AP12" i="44" s="1"/>
  <c r="AQ12" i="44" s="1"/>
  <c r="AR12" i="44" s="1"/>
  <c r="E12" i="40"/>
  <c r="J11" i="40"/>
  <c r="V11" i="40" s="1"/>
  <c r="H11" i="40"/>
  <c r="T11" i="40"/>
  <c r="F11" i="40"/>
  <c r="R11" i="40" s="1"/>
  <c r="X35" i="40"/>
  <c r="V36" i="40" s="1"/>
  <c r="F12" i="40"/>
  <c r="C18" i="40"/>
  <c r="N31" i="40"/>
  <c r="Q31" i="40"/>
  <c r="C19" i="40"/>
  <c r="N19" i="40" s="1"/>
  <c r="N32" i="40"/>
  <c r="Q17" i="40"/>
  <c r="N33" i="40"/>
  <c r="Q21" i="40"/>
  <c r="Q27" i="40"/>
  <c r="X34" i="40"/>
  <c r="X31" i="40"/>
  <c r="X30" i="40"/>
  <c r="X26" i="40"/>
  <c r="X25" i="40"/>
  <c r="X21" i="40"/>
  <c r="X20" i="40"/>
  <c r="X17" i="40"/>
  <c r="X16" i="40"/>
  <c r="Q30" i="40"/>
  <c r="Q26" i="40"/>
  <c r="Q20" i="40"/>
  <c r="Q16" i="40"/>
  <c r="C23" i="40"/>
  <c r="N23" i="40" s="1"/>
  <c r="C28" i="40"/>
  <c r="N28" i="40" s="1"/>
  <c r="D18" i="40"/>
  <c r="D31" i="40" s="1"/>
  <c r="D23" i="40"/>
  <c r="D28" i="40"/>
  <c r="E18" i="40"/>
  <c r="E31" i="40" s="1"/>
  <c r="E23" i="40"/>
  <c r="E28" i="40"/>
  <c r="F18" i="40"/>
  <c r="F31" i="40" s="1"/>
  <c r="F23" i="40"/>
  <c r="F28" i="40"/>
  <c r="G18" i="40"/>
  <c r="G31" i="40" s="1"/>
  <c r="G23" i="40"/>
  <c r="G28" i="40"/>
  <c r="H18" i="40"/>
  <c r="H31" i="40" s="1"/>
  <c r="H23" i="40"/>
  <c r="H28" i="40"/>
  <c r="I18" i="40"/>
  <c r="I31" i="40" s="1"/>
  <c r="I23" i="40"/>
  <c r="I28" i="40"/>
  <c r="J18" i="40"/>
  <c r="J31" i="40" s="1"/>
  <c r="J23" i="40"/>
  <c r="J28" i="40"/>
  <c r="K18" i="40"/>
  <c r="K31" i="40" s="1"/>
  <c r="K23" i="40"/>
  <c r="K28" i="40"/>
  <c r="L18" i="40"/>
  <c r="L31" i="40" s="1"/>
  <c r="L23" i="40"/>
  <c r="L28" i="40"/>
  <c r="N30" i="40"/>
  <c r="D19" i="40"/>
  <c r="E19" i="40"/>
  <c r="F19" i="40"/>
  <c r="G19" i="40"/>
  <c r="H19" i="40"/>
  <c r="I19" i="40"/>
  <c r="J19" i="40"/>
  <c r="K19" i="40"/>
  <c r="L19" i="40"/>
  <c r="C24" i="40"/>
  <c r="N24" i="40"/>
  <c r="D24" i="40"/>
  <c r="E24" i="40"/>
  <c r="F24" i="40"/>
  <c r="G24" i="40"/>
  <c r="H24" i="40"/>
  <c r="I24" i="40"/>
  <c r="J24" i="40"/>
  <c r="K24" i="40"/>
  <c r="L24" i="40"/>
  <c r="C29" i="40"/>
  <c r="N29" i="40"/>
  <c r="D29" i="40"/>
  <c r="E29" i="40"/>
  <c r="F29" i="40"/>
  <c r="G29" i="40"/>
  <c r="H29" i="40"/>
  <c r="I29" i="40"/>
  <c r="J29" i="40"/>
  <c r="K29" i="40"/>
  <c r="L29" i="40"/>
  <c r="N34" i="40"/>
  <c r="I34" i="40"/>
  <c r="H34" i="40"/>
  <c r="G34" i="40"/>
  <c r="Q35" i="40"/>
  <c r="Q34" i="40"/>
  <c r="J34" i="40"/>
  <c r="E34" i="40"/>
  <c r="A27" i="40"/>
  <c r="A28" i="40" s="1"/>
  <c r="A29" i="40"/>
  <c r="A32" i="40" s="1"/>
  <c r="A33" i="40" s="1"/>
  <c r="A34" i="40" s="1"/>
  <c r="V27" i="40"/>
  <c r="N27" i="40"/>
  <c r="N26" i="40"/>
  <c r="N25" i="40"/>
  <c r="A22" i="40"/>
  <c r="A23" i="40"/>
  <c r="A24" i="40" s="1"/>
  <c r="N22" i="40"/>
  <c r="N21" i="40"/>
  <c r="N20" i="40"/>
  <c r="A17" i="40"/>
  <c r="A18" i="40" s="1"/>
  <c r="A19" i="40"/>
  <c r="N17" i="40"/>
  <c r="N16" i="40"/>
  <c r="N15" i="40"/>
  <c r="O11" i="40"/>
  <c r="V9" i="40"/>
  <c r="R9" i="40"/>
  <c r="O9" i="40"/>
  <c r="V7" i="40"/>
  <c r="R7" i="40"/>
  <c r="V5" i="40"/>
  <c r="R5" i="40"/>
  <c r="C59" i="43"/>
  <c r="C29" i="43" s="1"/>
  <c r="T68" i="43" s="1"/>
  <c r="T72" i="43" s="1"/>
  <c r="T86" i="43" s="1"/>
  <c r="T97" i="43" s="1"/>
  <c r="T105" i="43"/>
  <c r="T107" i="43" s="1"/>
  <c r="T78" i="43"/>
  <c r="T94" i="43" s="1"/>
  <c r="C58" i="43"/>
  <c r="M58" i="43"/>
  <c r="AB78" i="43"/>
  <c r="T80" i="43" s="1"/>
  <c r="W58" i="43"/>
  <c r="AB79" i="43"/>
  <c r="T70" i="43"/>
  <c r="D58" i="43"/>
  <c r="AB92" i="43" s="1"/>
  <c r="T90" i="43" s="1"/>
  <c r="E58" i="43"/>
  <c r="AB93" i="43" s="1"/>
  <c r="F58" i="43"/>
  <c r="AB94" i="43"/>
  <c r="G58" i="43"/>
  <c r="AB95" i="43" s="1"/>
  <c r="H58" i="43"/>
  <c r="AB96" i="43"/>
  <c r="I58" i="43"/>
  <c r="AB97" i="43" s="1"/>
  <c r="J58" i="43"/>
  <c r="AB98" i="43"/>
  <c r="K58" i="43"/>
  <c r="AB99" i="43" s="1"/>
  <c r="L58" i="43"/>
  <c r="AB100" i="43" s="1"/>
  <c r="N58" i="43"/>
  <c r="O58" i="43"/>
  <c r="P58" i="43"/>
  <c r="Q58" i="43"/>
  <c r="R58" i="43"/>
  <c r="S58" i="43"/>
  <c r="T58" i="43"/>
  <c r="U58" i="43"/>
  <c r="V58" i="43"/>
  <c r="D59" i="43"/>
  <c r="AJ35" i="43"/>
  <c r="E59" i="43"/>
  <c r="F59" i="43"/>
  <c r="F60" i="43" s="1"/>
  <c r="G59" i="43"/>
  <c r="AM35" i="43"/>
  <c r="H59" i="43"/>
  <c r="AN35" i="43" s="1"/>
  <c r="I59" i="43"/>
  <c r="I60" i="43"/>
  <c r="J59" i="43"/>
  <c r="AI34" i="43" s="1"/>
  <c r="K59" i="43"/>
  <c r="K60" i="43" s="1"/>
  <c r="L59" i="43"/>
  <c r="AR35" i="43"/>
  <c r="M59" i="43"/>
  <c r="AS35" i="43"/>
  <c r="N59" i="43"/>
  <c r="O59" i="43"/>
  <c r="O60" i="43"/>
  <c r="P59" i="43"/>
  <c r="AV35" i="43" s="1"/>
  <c r="Q59" i="43"/>
  <c r="Q60" i="43" s="1"/>
  <c r="R59" i="43"/>
  <c r="R60" i="43" s="1"/>
  <c r="S59" i="43"/>
  <c r="S60" i="43" s="1"/>
  <c r="T59" i="43"/>
  <c r="AZ35" i="43" s="1"/>
  <c r="U59" i="43"/>
  <c r="V59" i="43"/>
  <c r="W59" i="43"/>
  <c r="W60" i="43" s="1"/>
  <c r="X59" i="43"/>
  <c r="Y59" i="43"/>
  <c r="Z59" i="43"/>
  <c r="AA59" i="43"/>
  <c r="AB59" i="43"/>
  <c r="AC59" i="43"/>
  <c r="AC60" i="43" s="1"/>
  <c r="AD59" i="43"/>
  <c r="AE59" i="43"/>
  <c r="AF59" i="43"/>
  <c r="BL35" i="43"/>
  <c r="X58" i="43"/>
  <c r="Y58" i="43"/>
  <c r="Z58" i="43"/>
  <c r="AA58" i="43"/>
  <c r="AB58" i="43"/>
  <c r="AC58" i="43"/>
  <c r="AD58" i="43"/>
  <c r="AE58" i="43"/>
  <c r="AF58" i="43"/>
  <c r="X51" i="43"/>
  <c r="Y51" i="43"/>
  <c r="Z51" i="43" s="1"/>
  <c r="AA51" i="43" s="1"/>
  <c r="AB51" i="43" s="1"/>
  <c r="AC51" i="43" s="1"/>
  <c r="AD51" i="43" s="1"/>
  <c r="AE51" i="43" s="1"/>
  <c r="AF51" i="43"/>
  <c r="N51" i="43"/>
  <c r="O51" i="43" s="1"/>
  <c r="P51" i="43" s="1"/>
  <c r="Q51" i="43" s="1"/>
  <c r="R51" i="43" s="1"/>
  <c r="S51" i="43" s="1"/>
  <c r="T51" i="43" s="1"/>
  <c r="U51" i="43" s="1"/>
  <c r="V51" i="43" s="1"/>
  <c r="D51" i="43"/>
  <c r="E51" i="43" s="1"/>
  <c r="F51" i="43"/>
  <c r="G51" i="43" s="1"/>
  <c r="H51" i="43" s="1"/>
  <c r="I51" i="43" s="1"/>
  <c r="J51" i="43" s="1"/>
  <c r="K51" i="43" s="1"/>
  <c r="L51" i="43" s="1"/>
  <c r="C8" i="43"/>
  <c r="BD12" i="43"/>
  <c r="BD13" i="43" s="1"/>
  <c r="AJ10" i="43"/>
  <c r="AK10" i="43" s="1"/>
  <c r="AL10" i="43"/>
  <c r="AM10" i="43" s="1"/>
  <c r="AN10" i="43" s="1"/>
  <c r="AO10" i="43" s="1"/>
  <c r="AP10" i="43" s="1"/>
  <c r="AQ10" i="43" s="1"/>
  <c r="AR10" i="43"/>
  <c r="AS10" i="43" s="1"/>
  <c r="AT10" i="43" s="1"/>
  <c r="AU10" i="43" s="1"/>
  <c r="AV10" i="43" s="1"/>
  <c r="AW10" i="43" s="1"/>
  <c r="AX10" i="43" s="1"/>
  <c r="AY10" i="43" s="1"/>
  <c r="AZ10" i="43" s="1"/>
  <c r="BA10" i="43" s="1"/>
  <c r="BB10" i="43" s="1"/>
  <c r="BC10" i="43" s="1"/>
  <c r="BD10" i="43" s="1"/>
  <c r="BE10" i="43" s="1"/>
  <c r="BF10" i="43" s="1"/>
  <c r="BG10" i="43" s="1"/>
  <c r="BH10" i="43" s="1"/>
  <c r="BI10" i="43" s="1"/>
  <c r="BJ10" i="43" s="1"/>
  <c r="BK10" i="43" s="1"/>
  <c r="BL10" i="43" s="1"/>
  <c r="H29" i="43"/>
  <c r="BG33" i="43"/>
  <c r="M29" i="43"/>
  <c r="AX35" i="43"/>
  <c r="AJ32" i="43"/>
  <c r="AK32" i="43"/>
  <c r="AL32" i="43" s="1"/>
  <c r="AM32" i="43" s="1"/>
  <c r="AN32" i="43" s="1"/>
  <c r="AO32" i="43"/>
  <c r="AP32" i="43" s="1"/>
  <c r="AQ32" i="43" s="1"/>
  <c r="AR32" i="43" s="1"/>
  <c r="AS32" i="43" s="1"/>
  <c r="AT32" i="43" s="1"/>
  <c r="AU32" i="43" s="1"/>
  <c r="AV32" i="43" s="1"/>
  <c r="AW32" i="43" s="1"/>
  <c r="AX32" i="43" s="1"/>
  <c r="AY32" i="43" s="1"/>
  <c r="AZ32" i="43" s="1"/>
  <c r="BA32" i="43" s="1"/>
  <c r="BB32" i="43" s="1"/>
  <c r="BC32" i="43" s="1"/>
  <c r="BD32" i="43" s="1"/>
  <c r="BE32" i="43" s="1"/>
  <c r="BF32" i="43" s="1"/>
  <c r="BG32" i="43" s="1"/>
  <c r="BH32" i="43" s="1"/>
  <c r="BI32" i="43" s="1"/>
  <c r="BJ32" i="43" s="1"/>
  <c r="BK32" i="43" s="1"/>
  <c r="BL32" i="43" s="1"/>
  <c r="AF57" i="43"/>
  <c r="AE57" i="43"/>
  <c r="AD57" i="43"/>
  <c r="AC57" i="43"/>
  <c r="AB57" i="43"/>
  <c r="AA57" i="43"/>
  <c r="Z57" i="43"/>
  <c r="Y57" i="43"/>
  <c r="X57" i="43"/>
  <c r="W57" i="43"/>
  <c r="V57" i="43"/>
  <c r="U57" i="43"/>
  <c r="T57" i="43"/>
  <c r="S57" i="43"/>
  <c r="R57" i="43"/>
  <c r="Q57" i="43"/>
  <c r="P57" i="43"/>
  <c r="O57" i="43"/>
  <c r="N57" i="43"/>
  <c r="M57" i="43"/>
  <c r="L57" i="43"/>
  <c r="K57" i="43"/>
  <c r="J57" i="43"/>
  <c r="I57" i="43"/>
  <c r="H57" i="43"/>
  <c r="G57" i="43"/>
  <c r="F57" i="43"/>
  <c r="E57" i="43"/>
  <c r="D57" i="43"/>
  <c r="C57" i="43"/>
  <c r="E12" i="42"/>
  <c r="J11" i="42"/>
  <c r="H11" i="42"/>
  <c r="F11" i="42"/>
  <c r="F12" i="42"/>
  <c r="L23" i="42"/>
  <c r="AA220" i="42"/>
  <c r="L28" i="42"/>
  <c r="AT92" i="42" s="1"/>
  <c r="BI266" i="42"/>
  <c r="BH266" i="42"/>
  <c r="BG266" i="42"/>
  <c r="BF265" i="42"/>
  <c r="BE265" i="42"/>
  <c r="BD265" i="42"/>
  <c r="BC264" i="42"/>
  <c r="BB264" i="42"/>
  <c r="BA264" i="42"/>
  <c r="K23" i="42"/>
  <c r="Z222" i="42"/>
  <c r="K28" i="42"/>
  <c r="Z224" i="42"/>
  <c r="AZ266" i="42"/>
  <c r="AY266" i="42"/>
  <c r="AX266" i="42"/>
  <c r="AW265" i="42"/>
  <c r="AV265" i="42"/>
  <c r="AU265" i="42"/>
  <c r="AT264" i="42"/>
  <c r="AS264" i="42"/>
  <c r="AR264" i="42"/>
  <c r="J23" i="42"/>
  <c r="Y222" i="42" s="1"/>
  <c r="J28" i="42"/>
  <c r="AR92" i="42" s="1"/>
  <c r="AQ266" i="42"/>
  <c r="AP266" i="42"/>
  <c r="AO266" i="42"/>
  <c r="AN265" i="42"/>
  <c r="AM265" i="42"/>
  <c r="AL265" i="42"/>
  <c r="AK264" i="42"/>
  <c r="AJ264" i="42"/>
  <c r="AI264" i="42"/>
  <c r="I23" i="42"/>
  <c r="X222" i="42"/>
  <c r="I28" i="42"/>
  <c r="AQ92" i="42" s="1"/>
  <c r="AH266" i="42"/>
  <c r="AG266" i="42"/>
  <c r="AF266" i="42"/>
  <c r="AE265" i="42"/>
  <c r="AD265" i="42"/>
  <c r="AC265" i="42"/>
  <c r="AB264" i="42"/>
  <c r="AA264" i="42"/>
  <c r="Z264" i="42"/>
  <c r="H23" i="42"/>
  <c r="W222" i="42"/>
  <c r="H28" i="42"/>
  <c r="W226" i="42" s="1"/>
  <c r="Y266" i="42"/>
  <c r="X266" i="42"/>
  <c r="W266" i="42"/>
  <c r="V265" i="42"/>
  <c r="U265" i="42"/>
  <c r="T265" i="42"/>
  <c r="S264" i="42"/>
  <c r="R264" i="42"/>
  <c r="Q264" i="42"/>
  <c r="G23" i="42"/>
  <c r="V220" i="42"/>
  <c r="G28" i="42"/>
  <c r="V224" i="42"/>
  <c r="BI260" i="42"/>
  <c r="BH260" i="42"/>
  <c r="BG260" i="42"/>
  <c r="BF259" i="42"/>
  <c r="BE259" i="42"/>
  <c r="BD259" i="42"/>
  <c r="BC258" i="42"/>
  <c r="BB258" i="42"/>
  <c r="BA258" i="42"/>
  <c r="F23" i="42"/>
  <c r="F28" i="42"/>
  <c r="U224" i="42"/>
  <c r="AZ260" i="42"/>
  <c r="AY260" i="42"/>
  <c r="AX260" i="42"/>
  <c r="AW259" i="42"/>
  <c r="AV259" i="42"/>
  <c r="AU259" i="42"/>
  <c r="AT258" i="42"/>
  <c r="AS258" i="42"/>
  <c r="AR258" i="42"/>
  <c r="E23" i="42"/>
  <c r="T220" i="42"/>
  <c r="E28" i="42"/>
  <c r="T224" i="42"/>
  <c r="AQ260" i="42"/>
  <c r="AP260" i="42"/>
  <c r="AO260" i="42"/>
  <c r="AN259" i="42"/>
  <c r="AM259" i="42"/>
  <c r="AL259" i="42"/>
  <c r="AK258" i="42"/>
  <c r="AJ258" i="42"/>
  <c r="AI258" i="42"/>
  <c r="D23" i="42"/>
  <c r="S220" i="42"/>
  <c r="D28" i="42"/>
  <c r="AL92" i="42" s="1"/>
  <c r="AH260" i="42"/>
  <c r="AG260" i="42"/>
  <c r="AF260" i="42"/>
  <c r="AE259" i="42"/>
  <c r="AD259" i="42"/>
  <c r="AC259" i="42"/>
  <c r="AB258" i="42"/>
  <c r="AA258" i="42"/>
  <c r="Z258" i="42"/>
  <c r="C23" i="42"/>
  <c r="AA92" i="42"/>
  <c r="C28" i="42"/>
  <c r="R224" i="42"/>
  <c r="Y260" i="42"/>
  <c r="X260" i="42"/>
  <c r="W260" i="42"/>
  <c r="V259" i="42"/>
  <c r="U259" i="42"/>
  <c r="T259" i="42"/>
  <c r="S258" i="42"/>
  <c r="R258" i="42"/>
  <c r="Q258" i="42"/>
  <c r="N31" i="42"/>
  <c r="S299" i="42"/>
  <c r="T299" i="42"/>
  <c r="U299" i="42" s="1"/>
  <c r="V299" i="42" s="1"/>
  <c r="W299" i="42" s="1"/>
  <c r="X299" i="42"/>
  <c r="Y299" i="42" s="1"/>
  <c r="Z299" i="42" s="1"/>
  <c r="AA299" i="42" s="1"/>
  <c r="AB299" i="42" s="1"/>
  <c r="AC299" i="42" s="1"/>
  <c r="AD299" i="42" s="1"/>
  <c r="AE299" i="42" s="1"/>
  <c r="AF299" i="42" s="1"/>
  <c r="AG299" i="42" s="1"/>
  <c r="AH299" i="42" s="1"/>
  <c r="AI299" i="42" s="1"/>
  <c r="AJ299" i="42" s="1"/>
  <c r="AK299" i="42" s="1"/>
  <c r="AL299" i="42" s="1"/>
  <c r="AA225" i="42"/>
  <c r="Z225" i="42"/>
  <c r="Y225" i="42"/>
  <c r="X225" i="42"/>
  <c r="W225" i="42"/>
  <c r="V225" i="42"/>
  <c r="U225" i="42"/>
  <c r="T225" i="42"/>
  <c r="S225" i="42"/>
  <c r="AA223" i="42"/>
  <c r="Z223" i="42"/>
  <c r="Y223" i="42"/>
  <c r="X223" i="42"/>
  <c r="W223" i="42"/>
  <c r="V223" i="42"/>
  <c r="U223" i="42"/>
  <c r="T223" i="42"/>
  <c r="S223" i="42"/>
  <c r="AA221" i="42"/>
  <c r="Z221" i="42"/>
  <c r="Y221" i="42"/>
  <c r="X221" i="42"/>
  <c r="W221" i="42"/>
  <c r="V221" i="42"/>
  <c r="U221" i="42"/>
  <c r="T221" i="42"/>
  <c r="S221" i="42"/>
  <c r="AA219" i="42"/>
  <c r="Z219" i="42"/>
  <c r="Y219" i="42"/>
  <c r="X219" i="42"/>
  <c r="W219" i="42"/>
  <c r="V219" i="42"/>
  <c r="U219" i="42"/>
  <c r="T219" i="42"/>
  <c r="S219" i="42"/>
  <c r="AA217" i="42"/>
  <c r="Z217" i="42"/>
  <c r="Z218" i="42"/>
  <c r="Y217" i="42"/>
  <c r="X217" i="42"/>
  <c r="W217" i="42"/>
  <c r="V217" i="42"/>
  <c r="U217" i="42"/>
  <c r="T217" i="42"/>
  <c r="S217" i="42"/>
  <c r="AA215" i="42"/>
  <c r="Z215" i="42"/>
  <c r="Z216" i="42"/>
  <c r="Y215" i="42"/>
  <c r="X215" i="42"/>
  <c r="W215" i="42"/>
  <c r="V215" i="42"/>
  <c r="U215" i="42"/>
  <c r="T215" i="42"/>
  <c r="S215" i="42"/>
  <c r="R225" i="42"/>
  <c r="R223" i="42"/>
  <c r="R221" i="42"/>
  <c r="R219" i="42"/>
  <c r="R215" i="42"/>
  <c r="R216" i="42"/>
  <c r="R217" i="42"/>
  <c r="BI182" i="42"/>
  <c r="AZ182" i="42"/>
  <c r="AQ182" i="42"/>
  <c r="AH182" i="42"/>
  <c r="Y182" i="42"/>
  <c r="BI176" i="42"/>
  <c r="AZ176" i="42"/>
  <c r="AQ176" i="42"/>
  <c r="AH176" i="42"/>
  <c r="Y176" i="42"/>
  <c r="BH182" i="42"/>
  <c r="AY182" i="42"/>
  <c r="AP182" i="42"/>
  <c r="AG182" i="42"/>
  <c r="X182" i="42"/>
  <c r="BH176" i="42"/>
  <c r="AY176" i="42"/>
  <c r="AP176" i="42"/>
  <c r="AG176" i="42"/>
  <c r="X176" i="42"/>
  <c r="BG182" i="42"/>
  <c r="AX182" i="42"/>
  <c r="AO182" i="42"/>
  <c r="AF182" i="42"/>
  <c r="W182" i="42"/>
  <c r="BG176" i="42"/>
  <c r="AX176" i="42"/>
  <c r="AO176" i="42"/>
  <c r="AF176" i="42"/>
  <c r="W176" i="42"/>
  <c r="BF181" i="42"/>
  <c r="AW181" i="42"/>
  <c r="AN181" i="42"/>
  <c r="AE181" i="42"/>
  <c r="V181" i="42"/>
  <c r="BF175" i="42"/>
  <c r="AW175" i="42"/>
  <c r="AN175" i="42"/>
  <c r="AE175" i="42"/>
  <c r="V175" i="42"/>
  <c r="BE181" i="42"/>
  <c r="AV181" i="42"/>
  <c r="AM181" i="42"/>
  <c r="AD181" i="42"/>
  <c r="U181" i="42"/>
  <c r="BE175" i="42"/>
  <c r="AV175" i="42"/>
  <c r="AM175" i="42"/>
  <c r="AD175" i="42"/>
  <c r="U175" i="42"/>
  <c r="BD181" i="42"/>
  <c r="AU181" i="42"/>
  <c r="AL181" i="42"/>
  <c r="AC181" i="42"/>
  <c r="T181" i="42"/>
  <c r="BD175" i="42"/>
  <c r="AU175" i="42"/>
  <c r="AL175" i="42"/>
  <c r="AC175" i="42"/>
  <c r="T175" i="42"/>
  <c r="BC180" i="42"/>
  <c r="AT180" i="42"/>
  <c r="AK180" i="42"/>
  <c r="AB180" i="42"/>
  <c r="S180" i="42"/>
  <c r="BC174" i="42"/>
  <c r="AT174" i="42"/>
  <c r="AK174" i="42"/>
  <c r="AB174" i="42"/>
  <c r="BB180" i="42"/>
  <c r="AS180" i="42"/>
  <c r="AJ180" i="42"/>
  <c r="AA180" i="42"/>
  <c r="R180" i="42"/>
  <c r="BB174" i="42"/>
  <c r="AS174" i="42"/>
  <c r="AJ174" i="42"/>
  <c r="AA174" i="42"/>
  <c r="BA180" i="42"/>
  <c r="AR180" i="42"/>
  <c r="AI180" i="42"/>
  <c r="Z180" i="42"/>
  <c r="Q180" i="42"/>
  <c r="BA174" i="42"/>
  <c r="AR174" i="42"/>
  <c r="AI174" i="42"/>
  <c r="Z174" i="42"/>
  <c r="S174" i="42"/>
  <c r="R174" i="42"/>
  <c r="Q174" i="42"/>
  <c r="F29" i="42"/>
  <c r="AN93" i="42" s="1"/>
  <c r="D29" i="42"/>
  <c r="AL93" i="42" s="1"/>
  <c r="E29" i="42"/>
  <c r="AM93" i="42" s="1"/>
  <c r="G29" i="42"/>
  <c r="AO93" i="42" s="1"/>
  <c r="H29" i="42"/>
  <c r="AP93" i="42" s="1"/>
  <c r="I29" i="42"/>
  <c r="AQ93" i="42" s="1"/>
  <c r="J29" i="42"/>
  <c r="AR93" i="42"/>
  <c r="K29" i="42"/>
  <c r="AS93" i="42" s="1"/>
  <c r="L29" i="42"/>
  <c r="AT93" i="42" s="1"/>
  <c r="D19" i="42"/>
  <c r="R93" i="42" s="1"/>
  <c r="E19" i="42"/>
  <c r="S93" i="42" s="1"/>
  <c r="F19" i="42"/>
  <c r="T93" i="42" s="1"/>
  <c r="G19" i="42"/>
  <c r="U93" i="42"/>
  <c r="H19" i="42"/>
  <c r="V93" i="42"/>
  <c r="I19" i="42"/>
  <c r="W93" i="42"/>
  <c r="J19" i="42"/>
  <c r="X93" i="42" s="1"/>
  <c r="K19" i="42"/>
  <c r="Y93" i="42"/>
  <c r="L19" i="42"/>
  <c r="Z93" i="42" s="1"/>
  <c r="D24" i="42"/>
  <c r="AB93" i="42" s="1"/>
  <c r="E24" i="42"/>
  <c r="AC93" i="42" s="1"/>
  <c r="F24" i="42"/>
  <c r="AD93" i="42"/>
  <c r="G24" i="42"/>
  <c r="AE93" i="42" s="1"/>
  <c r="H24" i="42"/>
  <c r="AF93" i="42"/>
  <c r="I24" i="42"/>
  <c r="AG93" i="42" s="1"/>
  <c r="J24" i="42"/>
  <c r="AH93" i="42" s="1"/>
  <c r="K24" i="42"/>
  <c r="AI93" i="42"/>
  <c r="L24" i="42"/>
  <c r="AJ93" i="42" s="1"/>
  <c r="Y92" i="42"/>
  <c r="S92" i="42"/>
  <c r="Q92" i="42"/>
  <c r="A27" i="42"/>
  <c r="A28" i="42"/>
  <c r="A29" i="42"/>
  <c r="N27" i="42"/>
  <c r="N26" i="42"/>
  <c r="N25" i="42"/>
  <c r="A22" i="42"/>
  <c r="A23" i="42"/>
  <c r="A24" i="42" s="1"/>
  <c r="N22" i="42"/>
  <c r="N21" i="42"/>
  <c r="N20" i="42"/>
  <c r="A17" i="42"/>
  <c r="A18" i="42"/>
  <c r="A19" i="42" s="1"/>
  <c r="N18" i="42"/>
  <c r="N17" i="42"/>
  <c r="N16" i="42"/>
  <c r="N15" i="42"/>
  <c r="AY35" i="43"/>
  <c r="G60" i="43"/>
  <c r="BI12" i="43"/>
  <c r="BI13" i="43" s="1"/>
  <c r="Z28" i="32"/>
  <c r="Z20" i="32"/>
  <c r="Z48" i="32"/>
  <c r="AU35" i="43"/>
  <c r="AE60" i="43"/>
  <c r="BK35" i="43"/>
  <c r="Z15" i="32"/>
  <c r="AR14" i="44"/>
  <c r="AC14" i="31"/>
  <c r="AC15" i="31"/>
  <c r="AC32" i="31"/>
  <c r="AC39" i="31"/>
  <c r="AA226" i="42"/>
  <c r="BB33" i="43"/>
  <c r="BH33" i="43"/>
  <c r="AP33" i="43"/>
  <c r="AQ33" i="43"/>
  <c r="BD33" i="43"/>
  <c r="AU33" i="43"/>
  <c r="S226" i="42"/>
  <c r="Z226" i="42"/>
  <c r="AJ33" i="43"/>
  <c r="AL35" i="43"/>
  <c r="AM37" i="44"/>
  <c r="AJ37" i="44"/>
  <c r="BA33" i="43"/>
  <c r="BE33" i="43"/>
  <c r="AQ35" i="43"/>
  <c r="C60" i="43"/>
  <c r="AK14" i="44"/>
  <c r="Z19" i="32"/>
  <c r="AC30" i="31"/>
  <c r="AI13" i="43"/>
  <c r="AB77" i="43"/>
  <c r="AB91" i="43"/>
  <c r="AO35" i="43"/>
  <c r="AQ14" i="44"/>
  <c r="AK35" i="43"/>
  <c r="E60" i="43"/>
  <c r="AC37" i="31"/>
  <c r="Z21" i="32"/>
  <c r="BE35" i="43"/>
  <c r="Y60" i="43"/>
  <c r="D60" i="43"/>
  <c r="N18" i="40"/>
  <c r="C31" i="40"/>
  <c r="AP12" i="43"/>
  <c r="AP13" i="43"/>
  <c r="AX12" i="43"/>
  <c r="AX13" i="43" s="1"/>
  <c r="BF12" i="43"/>
  <c r="BF13" i="43"/>
  <c r="AC33" i="31"/>
  <c r="AC36" i="31"/>
  <c r="AB45" i="33"/>
  <c r="AB46" i="33"/>
  <c r="AC47" i="31"/>
  <c r="G178" i="107"/>
  <c r="G181" i="107"/>
  <c r="N18" i="109"/>
  <c r="K36" i="109"/>
  <c r="M36" i="109" s="1"/>
  <c r="K37" i="109"/>
  <c r="M37" i="109" s="1"/>
  <c r="R15" i="109"/>
  <c r="Q19" i="109"/>
  <c r="E37" i="109"/>
  <c r="AY36" i="43"/>
  <c r="T60" i="43"/>
  <c r="BB36" i="43"/>
  <c r="AL33" i="43"/>
  <c r="M60" i="43"/>
  <c r="AX33" i="43"/>
  <c r="BJ33" i="43"/>
  <c r="AN33" i="43"/>
  <c r="AY33" i="43"/>
  <c r="AR33" i="43"/>
  <c r="AT36" i="43"/>
  <c r="AV33" i="43"/>
  <c r="BF33" i="43"/>
  <c r="AT33" i="43"/>
  <c r="BC33" i="43"/>
  <c r="AI33" i="43"/>
  <c r="BK33" i="43"/>
  <c r="AS33" i="43"/>
  <c r="AW33" i="43"/>
  <c r="AK33" i="43"/>
  <c r="AM33" i="43"/>
  <c r="AZ33" i="43"/>
  <c r="H60" i="43"/>
  <c r="AF60" i="43"/>
  <c r="L60" i="43"/>
  <c r="P60" i="43"/>
  <c r="AL38" i="44"/>
  <c r="AN38" i="44"/>
  <c r="AK38" i="44"/>
  <c r="AR38" i="44"/>
  <c r="AI38" i="44"/>
  <c r="AM38" i="44"/>
  <c r="AO38" i="44"/>
  <c r="AP38" i="44"/>
  <c r="AJ38" i="44"/>
  <c r="AQ38" i="44"/>
  <c r="M10" i="44"/>
  <c r="C47" i="44" s="1"/>
  <c r="AI16" i="44"/>
  <c r="AJ16" i="44" s="1"/>
  <c r="AK16" i="44" s="1"/>
  <c r="AL16" i="44" s="1"/>
  <c r="AM16" i="44" s="1"/>
  <c r="AN16" i="44" s="1"/>
  <c r="AO16" i="44" s="1"/>
  <c r="AP16" i="44" s="1"/>
  <c r="AQ16" i="44" s="1"/>
  <c r="AR16" i="44" s="1"/>
  <c r="AL14" i="44"/>
  <c r="AN14" i="44"/>
  <c r="H30" i="44"/>
  <c r="K47" i="44" s="1"/>
  <c r="AQ37" i="44"/>
  <c r="AO14" i="44"/>
  <c r="AI36" i="44"/>
  <c r="AK36" i="44" s="1"/>
  <c r="S11" i="31"/>
  <c r="T11" i="31"/>
  <c r="T76" i="43"/>
  <c r="T82" i="43" s="1"/>
  <c r="AO12" i="43"/>
  <c r="AO13" i="43"/>
  <c r="AM12" i="43"/>
  <c r="AM13" i="43"/>
  <c r="AU12" i="43"/>
  <c r="AU13" i="43" s="1"/>
  <c r="M8" i="43"/>
  <c r="BH12" i="43"/>
  <c r="BH13" i="43" s="1"/>
  <c r="AZ12" i="43"/>
  <c r="AZ13" i="43" s="1"/>
  <c r="AR12" i="43"/>
  <c r="AR13" i="43"/>
  <c r="BK12" i="43"/>
  <c r="BK13" i="43" s="1"/>
  <c r="BG12" i="43"/>
  <c r="BG13" i="43" s="1"/>
  <c r="BC12" i="43"/>
  <c r="BC13" i="43" s="1"/>
  <c r="AY12" i="43"/>
  <c r="AY13" i="43"/>
  <c r="AL12" i="43"/>
  <c r="AL13" i="43" s="1"/>
  <c r="AI12" i="43"/>
  <c r="AK12" i="43"/>
  <c r="AK13" i="43"/>
  <c r="AJ12" i="43"/>
  <c r="AJ13" i="43"/>
  <c r="BJ12" i="43"/>
  <c r="BJ13" i="43" s="1"/>
  <c r="BB12" i="43"/>
  <c r="BB13" i="43" s="1"/>
  <c r="AT12" i="43"/>
  <c r="AT13" i="43" s="1"/>
  <c r="H8" i="43"/>
  <c r="AW12" i="43"/>
  <c r="AW13" i="43" s="1"/>
  <c r="AN12" i="43"/>
  <c r="AN13" i="43"/>
  <c r="AQ12" i="43"/>
  <c r="AQ13" i="43"/>
  <c r="BA12" i="43"/>
  <c r="BA13" i="43"/>
  <c r="AV12" i="43"/>
  <c r="AV13" i="43" s="1"/>
  <c r="AP14" i="44"/>
  <c r="AJ14" i="44"/>
  <c r="AM14" i="44"/>
  <c r="H10" i="44"/>
  <c r="AN13" i="44" s="1"/>
  <c r="U216" i="42"/>
  <c r="F31" i="42"/>
  <c r="T92" i="42"/>
  <c r="U218" i="42"/>
  <c r="Z29" i="32"/>
  <c r="AC17" i="31"/>
  <c r="AC40" i="31"/>
  <c r="AB38" i="33"/>
  <c r="AB42" i="33"/>
  <c r="AB44" i="33"/>
  <c r="AB47" i="33"/>
  <c r="Z45" i="32"/>
  <c r="AB13" i="33"/>
  <c r="Z22" i="32"/>
  <c r="AB33" i="33"/>
  <c r="Q20" i="109"/>
  <c r="T18" i="109" s="1"/>
  <c r="Q49" i="109"/>
  <c r="E40" i="109"/>
  <c r="Y39" i="109"/>
  <c r="Y41" i="109"/>
  <c r="AZ11" i="43"/>
  <c r="AL11" i="43"/>
  <c r="BL11" i="43"/>
  <c r="BF11" i="43"/>
  <c r="BE11" i="43"/>
  <c r="AN11" i="43"/>
  <c r="AX11" i="43"/>
  <c r="AI11" i="43"/>
  <c r="AJ11" i="43"/>
  <c r="BK11" i="43"/>
  <c r="AV11" i="43"/>
  <c r="BG11" i="43"/>
  <c r="BA11" i="43"/>
  <c r="BB11" i="43"/>
  <c r="BJ11" i="43"/>
  <c r="BH11" i="43"/>
  <c r="BI11" i="43"/>
  <c r="AK11" i="43"/>
  <c r="BC11" i="43"/>
  <c r="AM11" i="43"/>
  <c r="BD11" i="43"/>
  <c r="AR11" i="43"/>
  <c r="R54" i="109"/>
  <c r="AK13" i="44"/>
  <c r="AO13" i="44"/>
  <c r="AR13" i="44"/>
  <c r="AP13" i="44"/>
  <c r="AM13" i="44"/>
  <c r="BJ14" i="43"/>
  <c r="AP14" i="43"/>
  <c r="BA14" i="43"/>
  <c r="AK14" i="43"/>
  <c r="AZ14" i="43"/>
  <c r="AJ14" i="43"/>
  <c r="BK14" i="43"/>
  <c r="BC14" i="43"/>
  <c r="BF14" i="43"/>
  <c r="AL14" i="43"/>
  <c r="AW14" i="43"/>
  <c r="BL14" i="43"/>
  <c r="AV14" i="43"/>
  <c r="AY14" i="43"/>
  <c r="AU14" i="43"/>
  <c r="BB14" i="43"/>
  <c r="AX14" i="43"/>
  <c r="BI14" i="43"/>
  <c r="AS14" i="43"/>
  <c r="BH14" i="43"/>
  <c r="AR14" i="43"/>
  <c r="AI14" i="43"/>
  <c r="BG14" i="43"/>
  <c r="AT14" i="43"/>
  <c r="AN14" i="43"/>
  <c r="BD14" i="43"/>
  <c r="BE14" i="43"/>
  <c r="AM14" i="43"/>
  <c r="AO14" i="43"/>
  <c r="AQ14" i="43"/>
  <c r="BK36" i="43"/>
  <c r="AI36" i="43"/>
  <c r="AJ36" i="43"/>
  <c r="AM36" i="43"/>
  <c r="AV36" i="43"/>
  <c r="AP36" i="43"/>
  <c r="BH36" i="43"/>
  <c r="BC36" i="43"/>
  <c r="BE36" i="43"/>
  <c r="BG36" i="43"/>
  <c r="AR36" i="43"/>
  <c r="AL36" i="43"/>
  <c r="BD36" i="43"/>
  <c r="AQ36" i="43"/>
  <c r="BJ36" i="43"/>
  <c r="BF36" i="43"/>
  <c r="AW36" i="43"/>
  <c r="BL36" i="43"/>
  <c r="AX36" i="43"/>
  <c r="AU36" i="43"/>
  <c r="AZ36" i="43"/>
  <c r="AO36" i="43"/>
  <c r="AK36" i="43"/>
  <c r="AS36" i="43"/>
  <c r="AN36" i="43"/>
  <c r="BA36" i="43"/>
  <c r="BI36" i="43"/>
  <c r="U167" i="107"/>
  <c r="AL13" i="44"/>
  <c r="AQ13" i="44"/>
  <c r="AI13" i="44"/>
  <c r="X60" i="43"/>
  <c r="BD35" i="43"/>
  <c r="AT35" i="43"/>
  <c r="N60" i="43"/>
  <c r="AJ13" i="44"/>
  <c r="R53" i="109"/>
  <c r="R57" i="109"/>
  <c r="AQ11" i="43"/>
  <c r="AS11" i="43"/>
  <c r="AU11" i="43"/>
  <c r="AY11" i="43"/>
  <c r="AP11" i="43"/>
  <c r="AO11" i="43"/>
  <c r="AW11" i="43"/>
  <c r="AT11" i="43"/>
  <c r="AD60" i="43"/>
  <c r="BJ35" i="43"/>
  <c r="BG35" i="43"/>
  <c r="AA60" i="43"/>
  <c r="D31" i="42"/>
  <c r="S339" i="42" s="1"/>
  <c r="S340" i="42" s="1"/>
  <c r="S216" i="42"/>
  <c r="S218" i="42"/>
  <c r="Z47" i="32"/>
  <c r="Z46" i="32"/>
  <c r="Z44" i="32"/>
  <c r="Z43" i="32"/>
  <c r="Z39" i="32"/>
  <c r="Y168" i="107"/>
  <c r="Z11" i="32"/>
  <c r="Z24" i="32"/>
  <c r="Z23" i="32"/>
  <c r="R222" i="42"/>
  <c r="V60" i="43"/>
  <c r="BB35" i="43"/>
  <c r="Z17" i="32"/>
  <c r="Z14" i="32"/>
  <c r="AC29" i="31"/>
  <c r="AC38" i="31"/>
  <c r="AB19" i="33"/>
  <c r="AB28" i="33"/>
  <c r="AB29" i="33"/>
  <c r="AB34" i="33"/>
  <c r="AB37" i="33"/>
  <c r="BL12" i="43"/>
  <c r="BL13" i="43" s="1"/>
  <c r="BE12" i="43"/>
  <c r="BE13" i="43"/>
  <c r="AS12" i="43"/>
  <c r="AS13" i="43" s="1"/>
  <c r="AB60" i="43"/>
  <c r="BH35" i="43"/>
  <c r="U60" i="43"/>
  <c r="BA35" i="43"/>
  <c r="AC19" i="31"/>
  <c r="AO33" i="43"/>
  <c r="BI33" i="43"/>
  <c r="BL33" i="43"/>
  <c r="Z26" i="32"/>
  <c r="AB17" i="33"/>
  <c r="AB18" i="33"/>
  <c r="AB43" i="33"/>
  <c r="Z30" i="32"/>
  <c r="Z27" i="32"/>
  <c r="AC31" i="31"/>
  <c r="AS92" i="42"/>
  <c r="Z92" i="42"/>
  <c r="AA216" i="42"/>
  <c r="X224" i="42"/>
  <c r="X226" i="42"/>
  <c r="S224" i="42"/>
  <c r="R220" i="42"/>
  <c r="U226" i="42"/>
  <c r="U92" i="42"/>
  <c r="N23" i="42"/>
  <c r="AN92" i="42"/>
  <c r="V92" i="42"/>
  <c r="T222" i="42"/>
  <c r="W216" i="42"/>
  <c r="V222" i="42"/>
  <c r="Y226" i="42"/>
  <c r="V218" i="42"/>
  <c r="AE92" i="42"/>
  <c r="V216" i="42"/>
  <c r="AC92" i="42"/>
  <c r="AH92" i="42"/>
  <c r="Y220" i="42"/>
  <c r="AP92" i="42"/>
  <c r="W224" i="42"/>
  <c r="X218" i="42"/>
  <c r="W218" i="42"/>
  <c r="W92" i="42"/>
  <c r="X216" i="42"/>
  <c r="AA93" i="42"/>
  <c r="AG92" i="42"/>
  <c r="Z220" i="42"/>
  <c r="X220" i="42"/>
  <c r="R218" i="42"/>
  <c r="T216" i="42"/>
  <c r="T218" i="42"/>
  <c r="AL300" i="42"/>
  <c r="Y216" i="42"/>
  <c r="X92" i="42"/>
  <c r="AK92" i="42"/>
  <c r="J31" i="42"/>
  <c r="R226" i="42"/>
  <c r="AA224" i="42"/>
  <c r="N28" i="42"/>
  <c r="AI92" i="42"/>
  <c r="L31" i="42"/>
  <c r="AA222" i="42"/>
  <c r="V226" i="42"/>
  <c r="T226" i="42"/>
  <c r="AB92" i="42"/>
  <c r="AM92" i="42"/>
  <c r="AO92" i="42"/>
  <c r="S222" i="42"/>
  <c r="N19" i="42"/>
  <c r="AJ92" i="42"/>
  <c r="L171" i="107"/>
  <c r="L173" i="107"/>
  <c r="F229" i="107" s="1"/>
  <c r="A54" i="107"/>
  <c r="A55" i="107"/>
  <c r="A56" i="107" s="1"/>
  <c r="A57" i="107" s="1"/>
  <c r="A58" i="107" s="1"/>
  <c r="A59" i="107" s="1"/>
  <c r="A60" i="107" s="1"/>
  <c r="A61" i="107" s="1"/>
  <c r="A62" i="107" s="1"/>
  <c r="G134" i="107"/>
  <c r="K134" i="107" s="1"/>
  <c r="K138" i="107" s="1"/>
  <c r="I100" i="107"/>
  <c r="G173" i="107"/>
  <c r="I85" i="107"/>
  <c r="G124" i="107"/>
  <c r="K124" i="107" s="1"/>
  <c r="M173" i="107"/>
  <c r="F231" i="107" s="1"/>
  <c r="I98" i="107"/>
  <c r="I102" i="107" s="1"/>
  <c r="G149" i="107"/>
  <c r="K149" i="107" s="1"/>
  <c r="K168" i="107"/>
  <c r="K174" i="107"/>
  <c r="L178" i="107"/>
  <c r="L181" i="107"/>
  <c r="K171" i="107"/>
  <c r="K173" i="107"/>
  <c r="F227" i="107"/>
  <c r="E173" i="107"/>
  <c r="G168" i="107"/>
  <c r="G85" i="107"/>
  <c r="I136" i="107"/>
  <c r="I122" i="107"/>
  <c r="I73" i="107"/>
  <c r="G98" i="107"/>
  <c r="K98" i="107"/>
  <c r="K102" i="107" s="1"/>
  <c r="G101" i="107" s="1"/>
  <c r="K101" i="107" s="1"/>
  <c r="G122" i="107"/>
  <c r="G126" i="107" s="1"/>
  <c r="I124" i="107"/>
  <c r="G179" i="107"/>
  <c r="G180" i="107" s="1"/>
  <c r="G147" i="107"/>
  <c r="E168" i="107"/>
  <c r="E172" i="107"/>
  <c r="G87" i="107"/>
  <c r="I168" i="107"/>
  <c r="I172" i="107" s="1"/>
  <c r="G73" i="107"/>
  <c r="G100" i="107"/>
  <c r="K100" i="107"/>
  <c r="I149" i="107"/>
  <c r="L168" i="107"/>
  <c r="L174" i="107"/>
  <c r="M168" i="107"/>
  <c r="M172" i="107" s="1"/>
  <c r="L179" i="107"/>
  <c r="G182" i="107"/>
  <c r="K170" i="107"/>
  <c r="K169" i="107"/>
  <c r="I87" i="107"/>
  <c r="I89" i="107" s="1"/>
  <c r="G75" i="107"/>
  <c r="I75" i="107"/>
  <c r="I77" i="107"/>
  <c r="I134" i="107"/>
  <c r="I138" i="107" s="1"/>
  <c r="I147" i="107"/>
  <c r="K147" i="107" s="1"/>
  <c r="K151" i="107" s="1"/>
  <c r="I151" i="107"/>
  <c r="G136" i="107"/>
  <c r="K136" i="107" s="1"/>
  <c r="AF4" i="104"/>
  <c r="AF5" i="104" s="1"/>
  <c r="K73" i="107"/>
  <c r="E174" i="107"/>
  <c r="F199" i="107" s="1"/>
  <c r="I126" i="107"/>
  <c r="K172" i="107"/>
  <c r="K85" i="107"/>
  <c r="G102" i="107"/>
  <c r="H107" i="107" s="1"/>
  <c r="D109" i="107"/>
  <c r="G89" i="107"/>
  <c r="H108" i="107" s="1"/>
  <c r="C114" i="107" s="1"/>
  <c r="F109" i="107"/>
  <c r="C115" i="107" s="1"/>
  <c r="L172" i="107"/>
  <c r="G172" i="107"/>
  <c r="G174" i="107"/>
  <c r="K75" i="107"/>
  <c r="G138" i="107"/>
  <c r="G77" i="107"/>
  <c r="F107" i="107"/>
  <c r="C113" i="107" s="1"/>
  <c r="L180" i="107"/>
  <c r="L182" i="107"/>
  <c r="D108" i="107"/>
  <c r="AF35" i="104"/>
  <c r="AF36" i="104"/>
  <c r="AG36" i="104" s="1"/>
  <c r="AF37" i="104"/>
  <c r="AG37" i="104" s="1"/>
  <c r="AF38" i="104"/>
  <c r="AF39" i="104" s="1"/>
  <c r="AG39" i="104" l="1"/>
  <c r="AF40" i="104"/>
  <c r="AF6" i="104"/>
  <c r="AG5" i="104"/>
  <c r="I135" i="107"/>
  <c r="I139" i="107" s="1"/>
  <c r="I137" i="107"/>
  <c r="G137" i="107"/>
  <c r="K137" i="107" s="1"/>
  <c r="G135" i="107"/>
  <c r="G148" i="107"/>
  <c r="G150" i="107"/>
  <c r="K150" i="107" s="1"/>
  <c r="I148" i="107"/>
  <c r="I152" i="107" s="1"/>
  <c r="I150" i="107"/>
  <c r="K89" i="107"/>
  <c r="AJ34" i="43"/>
  <c r="AR34" i="43"/>
  <c r="BF34" i="43"/>
  <c r="BA34" i="43"/>
  <c r="AN34" i="43"/>
  <c r="AQ34" i="43"/>
  <c r="BC34" i="43"/>
  <c r="AY34" i="43"/>
  <c r="AP34" i="43"/>
  <c r="BK34" i="43"/>
  <c r="AK34" i="43"/>
  <c r="BB34" i="43"/>
  <c r="BL34" i="43"/>
  <c r="AU34" i="43"/>
  <c r="AZ34" i="43"/>
  <c r="AW34" i="43"/>
  <c r="AL34" i="43"/>
  <c r="AM34" i="43"/>
  <c r="AS34" i="43"/>
  <c r="BI34" i="43"/>
  <c r="BE34" i="43"/>
  <c r="BD34" i="43"/>
  <c r="AX34" i="43"/>
  <c r="AV34" i="43"/>
  <c r="AT34" i="43"/>
  <c r="AO34" i="43"/>
  <c r="BJ34" i="43"/>
  <c r="BH34" i="43"/>
  <c r="BG34" i="43"/>
  <c r="L47" i="44"/>
  <c r="AG4" i="104"/>
  <c r="K77" i="107"/>
  <c r="L169" i="107"/>
  <c r="K87" i="107"/>
  <c r="AK35" i="44"/>
  <c r="AL301" i="42"/>
  <c r="AK301" i="42" s="1"/>
  <c r="AJ301" i="42"/>
  <c r="AI301" i="42" s="1"/>
  <c r="AH301" i="42" s="1"/>
  <c r="AG301" i="42" s="1"/>
  <c r="AF301" i="42" s="1"/>
  <c r="AE301" i="42" s="1"/>
  <c r="AD301" i="42" s="1"/>
  <c r="AC301" i="42" s="1"/>
  <c r="AB301" i="42" s="1"/>
  <c r="AA301" i="42" s="1"/>
  <c r="Z301" i="42" s="1"/>
  <c r="Y301" i="42" s="1"/>
  <c r="X301" i="42" s="1"/>
  <c r="W301" i="42" s="1"/>
  <c r="V301" i="42" s="1"/>
  <c r="U301" i="42" s="1"/>
  <c r="T301" i="42" s="1"/>
  <c r="S301" i="42" s="1"/>
  <c r="R301" i="42" s="1"/>
  <c r="AJ302" i="42"/>
  <c r="AI302" i="42" s="1"/>
  <c r="AH302" i="42" s="1"/>
  <c r="AG302" i="42" s="1"/>
  <c r="AF302" i="42" s="1"/>
  <c r="AE302" i="42" s="1"/>
  <c r="AD302" i="42" s="1"/>
  <c r="AC302" i="42" s="1"/>
  <c r="AB302" i="42" s="1"/>
  <c r="AA302" i="42" s="1"/>
  <c r="Z302" i="42" s="1"/>
  <c r="Y302" i="42" s="1"/>
  <c r="X302" i="42" s="1"/>
  <c r="W302" i="42" s="1"/>
  <c r="V302" i="42" s="1"/>
  <c r="U302" i="42" s="1"/>
  <c r="T302" i="42" s="1"/>
  <c r="S302" i="42" s="1"/>
  <c r="R302" i="42" s="1"/>
  <c r="K122" i="107"/>
  <c r="K126" i="107" s="1"/>
  <c r="Q54" i="109"/>
  <c r="F51" i="109"/>
  <c r="Q53" i="109"/>
  <c r="Q57" i="109"/>
  <c r="F52" i="109"/>
  <c r="F50" i="109"/>
  <c r="M170" i="107"/>
  <c r="M169" i="107"/>
  <c r="Q55" i="109"/>
  <c r="Y224" i="42"/>
  <c r="F198" i="107"/>
  <c r="AN35" i="44"/>
  <c r="I47" i="44"/>
  <c r="AJ35" i="44"/>
  <c r="AI35" i="44"/>
  <c r="E47" i="44"/>
  <c r="AQ35" i="44"/>
  <c r="AL35" i="44"/>
  <c r="AR35" i="44"/>
  <c r="F47" i="44"/>
  <c r="AO35" i="44"/>
  <c r="H47" i="44"/>
  <c r="G47" i="44"/>
  <c r="AP35" i="43"/>
  <c r="J60" i="43"/>
  <c r="Q56" i="109"/>
  <c r="N29" i="42"/>
  <c r="AK93" i="42"/>
  <c r="G151" i="107"/>
  <c r="AG38" i="104"/>
  <c r="F200" i="107"/>
  <c r="R339" i="42"/>
  <c r="R340" i="42" s="1"/>
  <c r="D47" i="44"/>
  <c r="AK300" i="42"/>
  <c r="AJ300" i="42"/>
  <c r="AI300" i="42" s="1"/>
  <c r="AH300" i="42" s="1"/>
  <c r="AG300" i="42" s="1"/>
  <c r="AF300" i="42" s="1"/>
  <c r="AE300" i="42" s="1"/>
  <c r="AD300" i="42" s="1"/>
  <c r="AC300" i="42" s="1"/>
  <c r="AB300" i="42" s="1"/>
  <c r="AA300" i="42" s="1"/>
  <c r="Z300" i="42" s="1"/>
  <c r="Y300" i="42" s="1"/>
  <c r="X300" i="42" s="1"/>
  <c r="W300" i="42" s="1"/>
  <c r="V300" i="42" s="1"/>
  <c r="U300" i="42" s="1"/>
  <c r="T300" i="42" s="1"/>
  <c r="S300" i="42" s="1"/>
  <c r="R300" i="42" s="1"/>
  <c r="U222" i="42"/>
  <c r="U220" i="42"/>
  <c r="AD92" i="42"/>
  <c r="G99" i="107"/>
  <c r="I99" i="107"/>
  <c r="I103" i="107" s="1"/>
  <c r="AP35" i="44"/>
  <c r="AM35" i="44"/>
  <c r="S16" i="109"/>
  <c r="S17" i="109"/>
  <c r="W220" i="42"/>
  <c r="AF92" i="42"/>
  <c r="Z60" i="43"/>
  <c r="BF35" i="43"/>
  <c r="M174" i="107"/>
  <c r="I101" i="107"/>
  <c r="I174" i="107"/>
  <c r="F54" i="109"/>
  <c r="J47" i="44"/>
  <c r="AQ36" i="44"/>
  <c r="AM36" i="44"/>
  <c r="AL36" i="44"/>
  <c r="AP36" i="44"/>
  <c r="AJ36" i="44"/>
  <c r="AO36" i="44"/>
  <c r="AR36" i="44"/>
  <c r="AN36" i="44"/>
  <c r="S15" i="109"/>
  <c r="AK302" i="42"/>
  <c r="AL302" i="42"/>
  <c r="AI35" i="43"/>
  <c r="AC21" i="31"/>
  <c r="AC22" i="31"/>
  <c r="AC24" i="31"/>
  <c r="AC25" i="31"/>
  <c r="AW35" i="43"/>
  <c r="BI35" i="43"/>
  <c r="Z42" i="32"/>
  <c r="Z35" i="32"/>
  <c r="Z31" i="32"/>
  <c r="AC11" i="31"/>
  <c r="AC12" i="31"/>
  <c r="AC42" i="31"/>
  <c r="AC51" i="31"/>
  <c r="AB22" i="33"/>
  <c r="BC35" i="43"/>
  <c r="AC35" i="31"/>
  <c r="AC41" i="31"/>
  <c r="AB31" i="33"/>
  <c r="AB39" i="33"/>
  <c r="AC13" i="31"/>
  <c r="AB35" i="33"/>
  <c r="C31" i="110"/>
  <c r="Y17" i="109"/>
  <c r="Y19" i="109"/>
  <c r="Y22" i="109"/>
  <c r="Y32" i="109"/>
  <c r="Q21" i="109"/>
  <c r="U29" i="109" s="1"/>
  <c r="Y33" i="109"/>
  <c r="Y35" i="109"/>
  <c r="Y38" i="109"/>
  <c r="G139" i="107" l="1"/>
  <c r="K135" i="107"/>
  <c r="K139" i="107" s="1"/>
  <c r="F156" i="107" s="1"/>
  <c r="D161" i="107" s="1"/>
  <c r="H54" i="109"/>
  <c r="F64" i="109"/>
  <c r="H64" i="109" s="1"/>
  <c r="G125" i="107"/>
  <c r="K125" i="107" s="1"/>
  <c r="I125" i="107"/>
  <c r="G123" i="107"/>
  <c r="I123" i="107"/>
  <c r="I127" i="107" s="1"/>
  <c r="U27" i="109"/>
  <c r="U25" i="109"/>
  <c r="U28" i="109"/>
  <c r="U31" i="109"/>
  <c r="U24" i="109"/>
  <c r="U26" i="109"/>
  <c r="G74" i="107"/>
  <c r="G76" i="107"/>
  <c r="K76" i="107" s="1"/>
  <c r="I76" i="107"/>
  <c r="I74" i="107"/>
  <c r="I78" i="107" s="1"/>
  <c r="I88" i="107"/>
  <c r="I86" i="107"/>
  <c r="I90" i="107" s="1"/>
  <c r="G88" i="107"/>
  <c r="K88" i="107" s="1"/>
  <c r="G86" i="107"/>
  <c r="S46" i="42"/>
  <c r="Q53" i="42"/>
  <c r="AF7" i="104"/>
  <c r="AG6" i="104"/>
  <c r="H52" i="109"/>
  <c r="K52" i="109" s="1"/>
  <c r="F62" i="109"/>
  <c r="H62" i="109" s="1"/>
  <c r="K99" i="107"/>
  <c r="K103" i="107" s="1"/>
  <c r="G103" i="107"/>
  <c r="H51" i="109"/>
  <c r="K51" i="109" s="1"/>
  <c r="F61" i="109"/>
  <c r="H61" i="109" s="1"/>
  <c r="AF41" i="104"/>
  <c r="AG40" i="104"/>
  <c r="F60" i="109"/>
  <c r="H60" i="109" s="1"/>
  <c r="R56" i="109"/>
  <c r="F53" i="109" s="1"/>
  <c r="H50" i="109"/>
  <c r="K50" i="109" s="1"/>
  <c r="U23" i="109"/>
  <c r="U22" i="109"/>
  <c r="U30" i="109"/>
  <c r="G152" i="107"/>
  <c r="K148" i="107"/>
  <c r="K152" i="107" s="1"/>
  <c r="H156" i="107" s="1"/>
  <c r="D162" i="107" s="1"/>
  <c r="Y53" i="42" l="1"/>
  <c r="X53" i="42"/>
  <c r="V53" i="42"/>
  <c r="U53" i="42"/>
  <c r="S53" i="42"/>
  <c r="T53" i="42"/>
  <c r="Z53" i="42"/>
  <c r="R53" i="42"/>
  <c r="AA98" i="42"/>
  <c r="W53" i="42"/>
  <c r="Q52" i="42"/>
  <c r="Q51" i="42"/>
  <c r="G78" i="107"/>
  <c r="K74" i="107"/>
  <c r="K78" i="107" s="1"/>
  <c r="G127" i="107"/>
  <c r="K123" i="107"/>
  <c r="K127" i="107" s="1"/>
  <c r="D156" i="107" s="1"/>
  <c r="D160" i="107" s="1"/>
  <c r="G90" i="107"/>
  <c r="K86" i="107"/>
  <c r="K90" i="107" s="1"/>
  <c r="F63" i="109"/>
  <c r="H63" i="109" s="1"/>
  <c r="H65" i="109" s="1"/>
  <c r="M69" i="109"/>
  <c r="H53" i="109"/>
  <c r="K54" i="109"/>
  <c r="H70" i="109"/>
  <c r="H71" i="109" s="1"/>
  <c r="AG41" i="104"/>
  <c r="AF42" i="104"/>
  <c r="AF8" i="104"/>
  <c r="AG7" i="104"/>
  <c r="W51" i="42" l="1"/>
  <c r="AG94" i="42" s="1"/>
  <c r="AQ96" i="42" s="1"/>
  <c r="AA94" i="42"/>
  <c r="AK96" i="42" s="1"/>
  <c r="U51" i="42"/>
  <c r="AE94" i="42" s="1"/>
  <c r="AO96" i="42" s="1"/>
  <c r="Z51" i="42"/>
  <c r="AJ94" i="42" s="1"/>
  <c r="AT96" i="42" s="1"/>
  <c r="Y51" i="42"/>
  <c r="AI94" i="42" s="1"/>
  <c r="AS96" i="42" s="1"/>
  <c r="V51" i="42"/>
  <c r="AF94" i="42" s="1"/>
  <c r="AP96" i="42" s="1"/>
  <c r="T51" i="42"/>
  <c r="AD94" i="42" s="1"/>
  <c r="AN96" i="42" s="1"/>
  <c r="R51" i="42"/>
  <c r="AB94" i="42" s="1"/>
  <c r="AL96" i="42" s="1"/>
  <c r="X51" i="42"/>
  <c r="AH94" i="42" s="1"/>
  <c r="AR96" i="42" s="1"/>
  <c r="S51" i="42"/>
  <c r="AC94" i="42" s="1"/>
  <c r="AM96" i="42" s="1"/>
  <c r="S52" i="42"/>
  <c r="AC95" i="42" s="1"/>
  <c r="AM97" i="42" s="1"/>
  <c r="AA95" i="42"/>
  <c r="AK97" i="42" s="1"/>
  <c r="X52" i="42"/>
  <c r="AH95" i="42" s="1"/>
  <c r="AR97" i="42" s="1"/>
  <c r="U52" i="42"/>
  <c r="AE95" i="42" s="1"/>
  <c r="AO97" i="42" s="1"/>
  <c r="T52" i="42"/>
  <c r="AD95" i="42" s="1"/>
  <c r="AN97" i="42" s="1"/>
  <c r="Y52" i="42"/>
  <c r="AI95" i="42" s="1"/>
  <c r="AS97" i="42" s="1"/>
  <c r="V52" i="42"/>
  <c r="AF95" i="42" s="1"/>
  <c r="AP97" i="42" s="1"/>
  <c r="Z52" i="42"/>
  <c r="AJ95" i="42" s="1"/>
  <c r="AT97" i="42" s="1"/>
  <c r="W52" i="42"/>
  <c r="AG95" i="42" s="1"/>
  <c r="AQ97" i="42" s="1"/>
  <c r="R52" i="42"/>
  <c r="AB95" i="42" s="1"/>
  <c r="AL97" i="42" s="1"/>
  <c r="AG8" i="104"/>
  <c r="AF9" i="104"/>
  <c r="K53" i="109"/>
  <c r="H55" i="109"/>
  <c r="AF43" i="104"/>
  <c r="AG43" i="104" s="1"/>
  <c r="AG42" i="104"/>
  <c r="AK99" i="42"/>
  <c r="AB98" i="42"/>
  <c r="AF10" i="104" l="1"/>
  <c r="AG9" i="104"/>
  <c r="AL99" i="42"/>
  <c r="AC98" i="42"/>
  <c r="AM99" i="42" l="1"/>
  <c r="AD98" i="42"/>
  <c r="AG10" i="104"/>
  <c r="AF11" i="104"/>
  <c r="AF12" i="104" l="1"/>
  <c r="AG11" i="104"/>
  <c r="AN99" i="42"/>
  <c r="AE98" i="42"/>
  <c r="AO99" i="42" l="1"/>
  <c r="AF98" i="42"/>
  <c r="AG12" i="104"/>
  <c r="AF13" i="104"/>
  <c r="AF14" i="104" l="1"/>
  <c r="AG13" i="104"/>
  <c r="AG98" i="42"/>
  <c r="AP99" i="42"/>
  <c r="AQ99" i="42" l="1"/>
  <c r="AH98" i="42"/>
  <c r="AG14" i="104"/>
  <c r="AF15" i="104"/>
  <c r="AF16" i="104" l="1"/>
  <c r="AG15" i="104"/>
  <c r="AI98" i="42"/>
  <c r="AR99" i="42"/>
  <c r="AJ98" i="42" l="1"/>
  <c r="AT99" i="42" s="1"/>
  <c r="AS99" i="42"/>
  <c r="AF17" i="104"/>
  <c r="AG16" i="104"/>
  <c r="AG17" i="104" l="1"/>
  <c r="AF18" i="104"/>
  <c r="AF19" i="104" l="1"/>
  <c r="AG18" i="104"/>
  <c r="AF20" i="104" l="1"/>
  <c r="AG19" i="104"/>
  <c r="AF21" i="104" l="1"/>
  <c r="AG20" i="104"/>
  <c r="AG21" i="104" l="1"/>
  <c r="AF22" i="104"/>
  <c r="AF23" i="104" l="1"/>
  <c r="AG22" i="104"/>
  <c r="AG23" i="104" l="1"/>
  <c r="AF24" i="104"/>
  <c r="AF25" i="104" l="1"/>
  <c r="AG24" i="104"/>
  <c r="AG25" i="104" l="1"/>
  <c r="AF26" i="104"/>
  <c r="AF27" i="104" l="1"/>
  <c r="AG26" i="104"/>
  <c r="AF28" i="104" l="1"/>
  <c r="AG27" i="104"/>
  <c r="AF29" i="104" l="1"/>
  <c r="AG28" i="104"/>
  <c r="AG29" i="104" l="1"/>
  <c r="AF30" i="104"/>
  <c r="AF31" i="104" l="1"/>
  <c r="AG30" i="104"/>
  <c r="AG31" i="104" l="1"/>
  <c r="AF32" i="104"/>
  <c r="AF33" i="104" l="1"/>
  <c r="AG32" i="104"/>
  <c r="AG33" i="104" l="1"/>
  <c r="AF34" i="104"/>
  <c r="AG34" i="10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E. Teti</author>
    <author>tetipex</author>
  </authors>
  <commentList>
    <comment ref="F3" authorId="0" shapeId="0" xr:uid="{00000000-0006-0000-0E00-000001000000}">
      <text>
        <r>
          <rPr>
            <sz val="12"/>
            <color indexed="81"/>
            <rFont val="Tahoma"/>
            <family val="2"/>
          </rPr>
          <t>Enter Gage R&amp;R as a Percent to Tolerance (e.g., .143 for 14.3%).  Cells are formatted in percent so please input resultant as a decimal.</t>
        </r>
        <r>
          <rPr>
            <sz val="8"/>
            <color indexed="81"/>
            <rFont val="Tahoma"/>
            <family val="2"/>
          </rPr>
          <t xml:space="preserve">
</t>
        </r>
      </text>
    </comment>
    <comment ref="G3" authorId="1" shapeId="0" xr:uid="{00000000-0006-0000-0E00-000002000000}">
      <text>
        <r>
          <rPr>
            <sz val="14"/>
            <color indexed="81"/>
            <rFont val="Tahoma"/>
            <family val="2"/>
          </rPr>
          <t>Producer and/or UTC MFP will add any supporting comments for any Status that is YELLOW or RED.  Include detailed action item with expected completion date.</t>
        </r>
        <r>
          <rPr>
            <sz val="8"/>
            <color indexed="81"/>
            <rFont val="Tahoma"/>
            <family val="2"/>
          </rPr>
          <t xml:space="preserve">
</t>
        </r>
      </text>
    </comment>
    <comment ref="H3" authorId="1" shapeId="0" xr:uid="{00000000-0006-0000-0E00-000003000000}">
      <text>
        <r>
          <rPr>
            <sz val="12"/>
            <color indexed="81"/>
            <rFont val="Tahoma"/>
            <family val="2"/>
          </rPr>
          <t>The UTC MFP shall document the expected date to close any item that is determined to be either partially completed or not completed per the review.</t>
        </r>
      </text>
    </comment>
    <comment ref="I3" authorId="1" shapeId="0" xr:uid="{00000000-0006-0000-0E00-000004000000}">
      <text>
        <r>
          <rPr>
            <sz val="12"/>
            <color indexed="81"/>
            <rFont val="Tahoma"/>
            <family val="2"/>
          </rPr>
          <t>The UTC MFP will assign responsibility, by name, for completing the action item.  This may be someone from the UTC Division or the Supplier.  Putting in "UTC Division" or "Supplier" is not an acceptable party for responsibility; a name needs to be entered in this field.</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F12" authorId="0" shapeId="0" xr:uid="{00000000-0006-0000-1200-000001000000}">
      <text>
        <r>
          <rPr>
            <b/>
            <sz val="8"/>
            <color indexed="81"/>
            <rFont val="Tahoma"/>
            <family val="2"/>
          </rPr>
          <t>MSA recommends 3 trail, 10 part, 3 appraiser analysis when possible</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F12" authorId="0" shapeId="0" xr:uid="{00000000-0006-0000-1300-000001000000}">
      <text>
        <r>
          <rPr>
            <b/>
            <sz val="8"/>
            <color indexed="81"/>
            <rFont val="Tahoma"/>
            <family val="2"/>
          </rPr>
          <t>MSA recommends 3 trail, 10 part, 3 appraiser analysis when possible</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F12" authorId="0" shapeId="0" xr:uid="{00000000-0006-0000-1500-000001000000}">
      <text>
        <r>
          <rPr>
            <b/>
            <sz val="8"/>
            <color indexed="81"/>
            <rFont val="Tahoma"/>
            <family val="2"/>
          </rPr>
          <t>MSA recommends 3 trail, 10 part, 3 appraiser analysis when possible</t>
        </r>
        <r>
          <rPr>
            <sz val="8"/>
            <color indexed="81"/>
            <rFont val="Tahoma"/>
            <family val="2"/>
          </rPr>
          <t xml:space="preserve">
</t>
        </r>
      </text>
    </comment>
    <comment ref="C15" authorId="0" shapeId="0" xr:uid="{00000000-0006-0000-1500-000002000000}">
      <text>
        <r>
          <rPr>
            <b/>
            <sz val="8"/>
            <color indexed="81"/>
            <rFont val="Tahoma"/>
            <family val="2"/>
          </rPr>
          <t>Values from GR&amp;R VAR(Tol)</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C11" authorId="0" shapeId="0" xr:uid="{00000000-0006-0000-1800-000001000000}">
      <text>
        <r>
          <rPr>
            <b/>
            <sz val="8"/>
            <color indexed="81"/>
            <rFont val="Tahoma"/>
            <family val="2"/>
          </rPr>
          <t>Include units of the specification.</t>
        </r>
      </text>
    </comment>
    <comment ref="G11" authorId="0" shapeId="0" xr:uid="{00000000-0006-0000-1800-000002000000}">
      <text>
        <r>
          <rPr>
            <b/>
            <sz val="8"/>
            <color indexed="81"/>
            <rFont val="Tahoma"/>
            <family val="2"/>
          </rPr>
          <t>Enter minimum value only.  No measurement units.   Enter n/a if max only.</t>
        </r>
        <r>
          <rPr>
            <sz val="8"/>
            <color indexed="81"/>
            <rFont val="Tahoma"/>
            <family val="2"/>
          </rPr>
          <t xml:space="preserve">
</t>
        </r>
      </text>
    </comment>
    <comment ref="H11" authorId="0" shapeId="0" xr:uid="{00000000-0006-0000-1800-000003000000}">
      <text>
        <r>
          <rPr>
            <b/>
            <sz val="8"/>
            <color indexed="81"/>
            <rFont val="Tahoma"/>
            <family val="2"/>
          </rPr>
          <t>Enter maximum value.   No measurement units.  Enter n/a if min only.</t>
        </r>
        <r>
          <rPr>
            <sz val="8"/>
            <color indexed="81"/>
            <rFont val="Tahoma"/>
            <family val="2"/>
          </rPr>
          <t xml:space="preserve">
</t>
        </r>
      </text>
    </comment>
    <comment ref="M11" authorId="0" shapeId="0" xr:uid="{00000000-0006-0000-1800-000004000000}">
      <text>
        <r>
          <rPr>
            <b/>
            <sz val="8"/>
            <color indexed="81"/>
            <rFont val="Tahoma"/>
            <family val="2"/>
          </rPr>
          <t>Enter 1 value only.  No measurement units.</t>
        </r>
        <r>
          <rPr>
            <sz val="8"/>
            <color indexed="81"/>
            <rFont val="Tahoma"/>
            <family val="2"/>
          </rPr>
          <t xml:space="preserve">
</t>
        </r>
      </text>
    </comment>
    <comment ref="S11" authorId="0" shapeId="0" xr:uid="{00000000-0006-0000-1800-000005000000}">
      <text>
        <r>
          <rPr>
            <sz val="8"/>
            <color indexed="81"/>
            <rFont val="Tahoma"/>
            <family val="2"/>
          </rPr>
          <t xml:space="preserve">Cell enters automatically if results entered in correct format.
</t>
        </r>
      </text>
    </comment>
    <comment ref="T11" authorId="0" shapeId="0" xr:uid="{00000000-0006-0000-1800-000006000000}">
      <text>
        <r>
          <rPr>
            <b/>
            <sz val="8"/>
            <color indexed="81"/>
            <rFont val="Tahoma"/>
            <family val="2"/>
          </rPr>
          <t>Cell enters automatically if results entered in correct format.</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A11" authorId="0" shapeId="0" xr:uid="{00000000-0006-0000-1900-000001000000}">
      <text>
        <r>
          <rPr>
            <b/>
            <sz val="8"/>
            <color indexed="81"/>
            <rFont val="Tahoma"/>
            <family val="2"/>
          </rPr>
          <t>Include units of the specification.</t>
        </r>
        <r>
          <rPr>
            <sz val="8"/>
            <color indexed="81"/>
            <rFont val="Tahoma"/>
            <family val="2"/>
          </rPr>
          <t xml:space="preserve">
</t>
        </r>
      </text>
    </comment>
    <comment ref="F11" authorId="0" shapeId="0" xr:uid="{00000000-0006-0000-1900-000002000000}">
      <text>
        <r>
          <rPr>
            <b/>
            <sz val="8"/>
            <color indexed="81"/>
            <rFont val="Tahoma"/>
            <family val="2"/>
          </rPr>
          <t>Enter minimum value only.  No measurement units.   Enter n/a if max only.</t>
        </r>
        <r>
          <rPr>
            <sz val="8"/>
            <color indexed="81"/>
            <rFont val="Tahoma"/>
            <family val="2"/>
          </rPr>
          <t xml:space="preserve">
</t>
        </r>
      </text>
    </comment>
    <comment ref="G11" authorId="0" shapeId="0" xr:uid="{00000000-0006-0000-1900-000003000000}">
      <text>
        <r>
          <rPr>
            <b/>
            <sz val="8"/>
            <color indexed="81"/>
            <rFont val="Tahoma"/>
            <family val="2"/>
          </rPr>
          <t>Enter maximum value.   No measurement units.  Enter n/a if min only.</t>
        </r>
        <r>
          <rPr>
            <sz val="8"/>
            <color indexed="81"/>
            <rFont val="Tahoma"/>
            <family val="2"/>
          </rPr>
          <t xml:space="preserve">
</t>
        </r>
      </text>
    </comment>
    <comment ref="K11" authorId="0" shapeId="0" xr:uid="{00000000-0006-0000-1900-000004000000}">
      <text>
        <r>
          <rPr>
            <b/>
            <sz val="8"/>
            <color indexed="81"/>
            <rFont val="Tahoma"/>
            <family val="2"/>
          </rPr>
          <t>Enter 1 value only.  No measurement units.</t>
        </r>
        <r>
          <rPr>
            <sz val="8"/>
            <color indexed="81"/>
            <rFont val="Tahoma"/>
            <family val="2"/>
          </rPr>
          <t xml:space="preserve">
</t>
        </r>
      </text>
    </comment>
    <comment ref="Q11" authorId="0" shapeId="0" xr:uid="{00000000-0006-0000-1900-000005000000}">
      <text>
        <r>
          <rPr>
            <sz val="8"/>
            <color indexed="81"/>
            <rFont val="Tahoma"/>
            <family val="2"/>
          </rPr>
          <t xml:space="preserve">Cell enters automatically if results entered in correct format.
</t>
        </r>
      </text>
    </comment>
    <comment ref="R11" authorId="0" shapeId="0" xr:uid="{00000000-0006-0000-1900-000006000000}">
      <text>
        <r>
          <rPr>
            <b/>
            <sz val="8"/>
            <color indexed="81"/>
            <rFont val="Tahoma"/>
            <family val="2"/>
          </rPr>
          <t>Cell enters automatically if results entered in correct format.</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Jarold March</author>
  </authors>
  <commentList>
    <comment ref="A11" authorId="0" shapeId="0" xr:uid="{00000000-0006-0000-1A00-000001000000}">
      <text>
        <r>
          <rPr>
            <b/>
            <sz val="8"/>
            <color indexed="81"/>
            <rFont val="Tahoma"/>
            <family val="2"/>
          </rPr>
          <t>Include units of the specification.</t>
        </r>
      </text>
    </comment>
    <comment ref="G11" authorId="0" shapeId="0" xr:uid="{00000000-0006-0000-1A00-000002000000}">
      <text>
        <r>
          <rPr>
            <b/>
            <sz val="8"/>
            <color indexed="81"/>
            <rFont val="Tahoma"/>
            <family val="2"/>
          </rPr>
          <t>Enter minimum value only.  No measurement units.   Enter n/a if max only.</t>
        </r>
        <r>
          <rPr>
            <sz val="8"/>
            <color indexed="81"/>
            <rFont val="Tahoma"/>
            <family val="2"/>
          </rPr>
          <t xml:space="preserve">
</t>
        </r>
      </text>
    </comment>
    <comment ref="H11" authorId="0" shapeId="0" xr:uid="{00000000-0006-0000-1A00-000003000000}">
      <text>
        <r>
          <rPr>
            <b/>
            <sz val="8"/>
            <color indexed="81"/>
            <rFont val="Tahoma"/>
            <family val="2"/>
          </rPr>
          <t>Enter maximum value.   No measurement units.  Enter n/a if min only.</t>
        </r>
        <r>
          <rPr>
            <sz val="8"/>
            <color indexed="81"/>
            <rFont val="Tahoma"/>
            <family val="2"/>
          </rPr>
          <t xml:space="preserve">
</t>
        </r>
      </text>
    </comment>
    <comment ref="M11" authorId="0" shapeId="0" xr:uid="{00000000-0006-0000-1A00-000004000000}">
      <text>
        <r>
          <rPr>
            <b/>
            <sz val="8"/>
            <color indexed="81"/>
            <rFont val="Tahoma"/>
            <family val="2"/>
          </rPr>
          <t>Enter 1 value only.  No measurement units.</t>
        </r>
        <r>
          <rPr>
            <sz val="8"/>
            <color indexed="81"/>
            <rFont val="Tahoma"/>
            <family val="2"/>
          </rPr>
          <t xml:space="preserve">
</t>
        </r>
      </text>
    </comment>
    <comment ref="S11" authorId="0" shapeId="0" xr:uid="{00000000-0006-0000-1A00-000005000000}">
      <text>
        <r>
          <rPr>
            <sz val="8"/>
            <color indexed="81"/>
            <rFont val="Tahoma"/>
            <family val="2"/>
          </rPr>
          <t xml:space="preserve">Cell enters automatically if results entered in correct format.
</t>
        </r>
      </text>
    </comment>
    <comment ref="T11" authorId="0" shapeId="0" xr:uid="{00000000-0006-0000-1A00-000006000000}">
      <text>
        <r>
          <rPr>
            <b/>
            <sz val="8"/>
            <color indexed="81"/>
            <rFont val="Tahoma"/>
            <family val="2"/>
          </rPr>
          <t>Cell enters automatically if results entered in correct format.</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Peter E. Teti</author>
    <author>tetipex</author>
  </authors>
  <commentList>
    <comment ref="G5" authorId="0" shapeId="0" xr:uid="{00000000-0006-0000-1B00-000001000000}">
      <text>
        <r>
          <rPr>
            <sz val="12"/>
            <color indexed="81"/>
            <rFont val="Tahoma"/>
            <family val="2"/>
          </rPr>
          <t xml:space="preserve">Type in the Cpk result here in this cell.  If attribute control chart used, type in the average (i.e., p-bar, np-bar, c-bar or u-bar).
</t>
        </r>
        <r>
          <rPr>
            <sz val="8"/>
            <color indexed="81"/>
            <rFont val="Tahoma"/>
            <family val="2"/>
          </rPr>
          <t xml:space="preserve">
</t>
        </r>
      </text>
    </comment>
    <comment ref="H5" authorId="0" shapeId="0" xr:uid="{00000000-0006-0000-1B00-000002000000}">
      <text>
        <r>
          <rPr>
            <sz val="12"/>
            <color indexed="81"/>
            <rFont val="Tahoma"/>
            <family val="2"/>
          </rPr>
          <t>Click on appropriate "Cpk Action to Take".  In case of attribute control charts, a Cpk = 1.33 equates to a PPM = 63.  MFP has the discretion to assign an action or not based on their confidence in the supplier.</t>
        </r>
        <r>
          <rPr>
            <sz val="8"/>
            <color indexed="81"/>
            <rFont val="Tahoma"/>
            <family val="2"/>
          </rPr>
          <t xml:space="preserve">
</t>
        </r>
      </text>
    </comment>
    <comment ref="I5" authorId="1" shapeId="0" xr:uid="{00000000-0006-0000-1B00-000003000000}">
      <text>
        <r>
          <rPr>
            <sz val="14"/>
            <color indexed="81"/>
            <rFont val="Tahoma"/>
            <family val="2"/>
          </rPr>
          <t>Producer and/or UTC MFP will add any supporting comments for any Status that is YELLOW or RED.  Include detailed action item with expected completion date.</t>
        </r>
        <r>
          <rPr>
            <sz val="8"/>
            <color indexed="81"/>
            <rFont val="Tahoma"/>
            <family val="2"/>
          </rPr>
          <t xml:space="preserve">
</t>
        </r>
      </text>
    </comment>
    <comment ref="J5" authorId="1" shapeId="0" xr:uid="{00000000-0006-0000-1B00-000004000000}">
      <text>
        <r>
          <rPr>
            <sz val="12"/>
            <color indexed="81"/>
            <rFont val="Tahoma"/>
            <family val="2"/>
          </rPr>
          <t>The UTC MFP shall document the expected date to close any item that is determined to be either partially completed or not completed per the review.</t>
        </r>
      </text>
    </comment>
    <comment ref="K5" authorId="1" shapeId="0" xr:uid="{00000000-0006-0000-1B00-000005000000}">
      <text>
        <r>
          <rPr>
            <sz val="12"/>
            <color indexed="81"/>
            <rFont val="Tahoma"/>
            <family val="2"/>
          </rPr>
          <t>The UTC MFP will assign responsibility, by name, for completing the action item.  This may be someone from the UTC Division or the Supplier.  Putting in "UTC Division" or "Supplier" is not an acceptable party for responsibility; a name needs to be entered in this field.</t>
        </r>
        <r>
          <rPr>
            <sz val="8"/>
            <color indexed="81"/>
            <rFont val="Tahoma"/>
            <family val="2"/>
          </rPr>
          <t xml:space="preserve">
</t>
        </r>
      </text>
    </comment>
  </commentList>
</comments>
</file>

<file path=xl/sharedStrings.xml><?xml version="1.0" encoding="utf-8"?>
<sst xmlns="http://schemas.openxmlformats.org/spreadsheetml/2006/main" count="1934" uniqueCount="965">
  <si>
    <t>Customer Engineering Approval/Date (If Req'd.)</t>
  </si>
  <si>
    <t>Part Name/Description</t>
  </si>
  <si>
    <t>Customer Quality Approval/Date (If Req'd.)</t>
  </si>
  <si>
    <t>Other Approval/Date (If Req'd.)</t>
  </si>
  <si>
    <t>METHODS</t>
  </si>
  <si>
    <t>PRODUCT/PROCESS</t>
  </si>
  <si>
    <t>EVALUATION/</t>
  </si>
  <si>
    <t>SAMPLE</t>
  </si>
  <si>
    <t>NO.</t>
  </si>
  <si>
    <t>PRODUCT</t>
  </si>
  <si>
    <t>SPECIFICATION/</t>
  </si>
  <si>
    <t>MEASUREMENT</t>
  </si>
  <si>
    <t>SIZE</t>
  </si>
  <si>
    <t>FREQ.</t>
  </si>
  <si>
    <t>TECHNIQUE</t>
  </si>
  <si>
    <t>Customer</t>
  </si>
  <si>
    <t>X</t>
  </si>
  <si>
    <t>Y</t>
  </si>
  <si>
    <t>Characteristic</t>
  </si>
  <si>
    <t>R</t>
  </si>
  <si>
    <t>#</t>
  </si>
  <si>
    <t>Dimensional Results</t>
  </si>
  <si>
    <t>ITEM</t>
  </si>
  <si>
    <t>OK</t>
  </si>
  <si>
    <t>TITLE</t>
  </si>
  <si>
    <t>Material Test Results</t>
  </si>
  <si>
    <t>Performance Test Results</t>
  </si>
  <si>
    <t>PART</t>
  </si>
  <si>
    <t>VALUE</t>
  </si>
  <si>
    <t>(5) UCI and LCI are the upper and lower confidence internval bounds, respectively (Wilson score method)</t>
  </si>
  <si>
    <t>Gage Name</t>
  </si>
  <si>
    <t>Appraiser A</t>
  </si>
  <si>
    <t>Gage Number</t>
  </si>
  <si>
    <t>Appraiser B</t>
  </si>
  <si>
    <t>Gage Type</t>
  </si>
  <si>
    <t>Date Performed</t>
  </si>
  <si>
    <t>APPRAISER A</t>
  </si>
  <si>
    <t>APPRAISER B</t>
  </si>
  <si>
    <t>Measurement Unit Analysis</t>
  </si>
  <si>
    <t>B</t>
  </si>
  <si>
    <t>=</t>
  </si>
  <si>
    <t>Title</t>
  </si>
  <si>
    <t>Appraiser C</t>
  </si>
  <si>
    <t>Characteristic Classification</t>
  </si>
  <si>
    <t>Trials</t>
  </si>
  <si>
    <t>Parts</t>
  </si>
  <si>
    <t>Appraisers</t>
  </si>
  <si>
    <t>APPRAISER/</t>
  </si>
  <si>
    <t>AVERAGE</t>
  </si>
  <si>
    <t>% Total Variation (TV)</t>
  </si>
  <si>
    <t>TRIAL #</t>
  </si>
  <si>
    <t xml:space="preserve">  Repeatability - Equipment Variation (EV)</t>
  </si>
  <si>
    <t>1.  A</t>
  </si>
  <si>
    <t>EV</t>
  </si>
  <si>
    <r>
      <t>R</t>
    </r>
    <r>
      <rPr>
        <sz val="10"/>
        <rFont val="Arial"/>
      </rPr>
      <t xml:space="preserve">  x  K</t>
    </r>
    <r>
      <rPr>
        <vertAlign val="subscript"/>
        <sz val="10"/>
        <rFont val="Arial"/>
        <family val="2"/>
      </rPr>
      <t>1</t>
    </r>
  </si>
  <si>
    <t>% EV</t>
  </si>
  <si>
    <t>100 (EV/TV)</t>
  </si>
  <si>
    <t>AVE</t>
  </si>
  <si>
    <r>
      <t>x</t>
    </r>
    <r>
      <rPr>
        <vertAlign val="subscript"/>
        <sz val="10"/>
        <rFont val="Arial"/>
        <family val="2"/>
      </rPr>
      <t>a</t>
    </r>
    <r>
      <rPr>
        <sz val="10"/>
        <rFont val="Arial"/>
      </rPr>
      <t>=</t>
    </r>
  </si>
  <si>
    <t xml:space="preserve">  Reproducibility - Appraiser Variation (AV)</t>
  </si>
  <si>
    <r>
      <t>r</t>
    </r>
    <r>
      <rPr>
        <vertAlign val="subscript"/>
        <sz val="10"/>
        <rFont val="Arial"/>
        <family val="2"/>
      </rPr>
      <t>a</t>
    </r>
    <r>
      <rPr>
        <sz val="10"/>
        <rFont val="Arial"/>
      </rPr>
      <t>=</t>
    </r>
  </si>
  <si>
    <t>AV</t>
  </si>
  <si>
    <t>% AV</t>
  </si>
  <si>
    <t>100 (AV/TV)</t>
  </si>
  <si>
    <t>6.  B</t>
  </si>
  <si>
    <r>
      <t>x</t>
    </r>
    <r>
      <rPr>
        <vertAlign val="subscript"/>
        <sz val="10"/>
        <rFont val="Arial"/>
        <family val="2"/>
      </rPr>
      <t>b</t>
    </r>
    <r>
      <rPr>
        <sz val="10"/>
        <rFont val="Arial"/>
      </rPr>
      <t>=</t>
    </r>
  </si>
  <si>
    <r>
      <t>r</t>
    </r>
    <r>
      <rPr>
        <vertAlign val="subscript"/>
        <sz val="10"/>
        <rFont val="Arial"/>
        <family val="2"/>
      </rPr>
      <t>b</t>
    </r>
    <r>
      <rPr>
        <sz val="10"/>
        <rFont val="Arial"/>
      </rPr>
      <t>=</t>
    </r>
  </si>
  <si>
    <r>
      <t>{(EV</t>
    </r>
    <r>
      <rPr>
        <vertAlign val="superscript"/>
        <sz val="10"/>
        <rFont val="Arial"/>
        <family val="2"/>
      </rPr>
      <t>2</t>
    </r>
    <r>
      <rPr>
        <sz val="10"/>
        <rFont val="Arial"/>
      </rPr>
      <t xml:space="preserve"> + AV</t>
    </r>
    <r>
      <rPr>
        <vertAlign val="superscript"/>
        <sz val="10"/>
        <rFont val="Arial"/>
        <family val="2"/>
      </rPr>
      <t>2</t>
    </r>
    <r>
      <rPr>
        <sz val="10"/>
        <rFont val="Arial"/>
      </rPr>
      <t>)}</t>
    </r>
    <r>
      <rPr>
        <vertAlign val="superscript"/>
        <sz val="10"/>
        <rFont val="Arial"/>
        <family val="2"/>
      </rPr>
      <t>1/2</t>
    </r>
  </si>
  <si>
    <r>
      <t>K</t>
    </r>
    <r>
      <rPr>
        <b/>
        <vertAlign val="subscript"/>
        <sz val="10"/>
        <rFont val="Arial"/>
        <family val="2"/>
      </rPr>
      <t>3</t>
    </r>
  </si>
  <si>
    <t>11.  C</t>
  </si>
  <si>
    <t xml:space="preserve">  Part Variation (PV)</t>
  </si>
  <si>
    <r>
      <t>x</t>
    </r>
    <r>
      <rPr>
        <vertAlign val="subscript"/>
        <sz val="10"/>
        <rFont val="Arial"/>
        <family val="2"/>
      </rPr>
      <t>c</t>
    </r>
    <r>
      <rPr>
        <sz val="10"/>
        <rFont val="Arial"/>
      </rPr>
      <t>=</t>
    </r>
  </si>
  <si>
    <t>PV</t>
  </si>
  <si>
    <r>
      <t>R</t>
    </r>
    <r>
      <rPr>
        <vertAlign val="subscript"/>
        <sz val="10"/>
        <rFont val="Arial"/>
        <family val="2"/>
      </rPr>
      <t>P</t>
    </r>
    <r>
      <rPr>
        <sz val="10"/>
        <rFont val="Arial"/>
      </rPr>
      <t xml:space="preserve"> x K</t>
    </r>
    <r>
      <rPr>
        <vertAlign val="subscript"/>
        <sz val="10"/>
        <rFont val="Arial"/>
        <family val="2"/>
      </rPr>
      <t>3</t>
    </r>
  </si>
  <si>
    <r>
      <t>r</t>
    </r>
    <r>
      <rPr>
        <vertAlign val="subscript"/>
        <sz val="10"/>
        <rFont val="Arial"/>
        <family val="2"/>
      </rPr>
      <t>c</t>
    </r>
    <r>
      <rPr>
        <sz val="10"/>
        <rFont val="Arial"/>
        <family val="2"/>
      </rPr>
      <t>=</t>
    </r>
  </si>
  <si>
    <t xml:space="preserve">16. PART </t>
  </si>
  <si>
    <r>
      <t>X</t>
    </r>
    <r>
      <rPr>
        <sz val="10"/>
        <rFont val="Arial"/>
      </rPr>
      <t>=</t>
    </r>
  </si>
  <si>
    <t>% PV</t>
  </si>
  <si>
    <t>100 (PV/TV)</t>
  </si>
  <si>
    <t>Upper Spec</t>
  </si>
  <si>
    <t>Lower Spec</t>
  </si>
  <si>
    <t xml:space="preserve">  Tolerance (Tol)</t>
  </si>
  <si>
    <t xml:space="preserve">           n = parts        r = trials</t>
  </si>
  <si>
    <t xml:space="preserve">  Repeatability &amp; Reproducibility (GRR)</t>
  </si>
  <si>
    <t>% GRR</t>
  </si>
  <si>
    <t>100 (GRR/TV)</t>
  </si>
  <si>
    <t>GRR</t>
  </si>
  <si>
    <t xml:space="preserve">   AVERAGE</t>
  </si>
  <si>
    <r>
      <t>x</t>
    </r>
    <r>
      <rPr>
        <vertAlign val="subscript"/>
        <sz val="10"/>
        <rFont val="Arial"/>
        <family val="2"/>
      </rPr>
      <t>DIFF</t>
    </r>
    <r>
      <rPr>
        <sz val="10"/>
        <rFont val="Arial"/>
      </rPr>
      <t xml:space="preserve"> = (Max </t>
    </r>
    <r>
      <rPr>
        <sz val="12"/>
        <rFont val="Statistical Symbols"/>
      </rPr>
      <t>x</t>
    </r>
    <r>
      <rPr>
        <sz val="10"/>
        <rFont val="Arial"/>
      </rPr>
      <t xml:space="preserve"> - Min </t>
    </r>
    <r>
      <rPr>
        <sz val="12"/>
        <rFont val="Statistical Symbols"/>
      </rPr>
      <t>x</t>
    </r>
    <r>
      <rPr>
        <sz val="10"/>
        <rFont val="Arial"/>
      </rPr>
      <t>) =</t>
    </r>
  </si>
  <si>
    <r>
      <t>{(GRR</t>
    </r>
    <r>
      <rPr>
        <vertAlign val="superscript"/>
        <sz val="10"/>
        <rFont val="Arial"/>
        <family val="2"/>
      </rPr>
      <t>2</t>
    </r>
    <r>
      <rPr>
        <sz val="10"/>
        <rFont val="Arial"/>
      </rPr>
      <t xml:space="preserve"> + PV</t>
    </r>
    <r>
      <rPr>
        <vertAlign val="superscript"/>
        <sz val="10"/>
        <rFont val="Arial"/>
        <family val="2"/>
      </rPr>
      <t>2</t>
    </r>
    <r>
      <rPr>
        <sz val="10"/>
        <rFont val="Arial"/>
      </rPr>
      <t>)}</t>
    </r>
    <r>
      <rPr>
        <vertAlign val="superscript"/>
        <sz val="10"/>
        <rFont val="Arial"/>
        <family val="2"/>
      </rPr>
      <t>1/2</t>
    </r>
  </si>
  <si>
    <t>ndc</t>
  </si>
  <si>
    <t>1.41(PV/GRR)</t>
  </si>
  <si>
    <r>
      <t>* UCL</t>
    </r>
    <r>
      <rPr>
        <vertAlign val="subscript"/>
        <sz val="10"/>
        <rFont val="Arial"/>
        <family val="2"/>
      </rPr>
      <t>R</t>
    </r>
    <r>
      <rPr>
        <sz val="10"/>
        <rFont val="Arial"/>
        <family val="2"/>
      </rPr>
      <t xml:space="preserve"> =</t>
    </r>
    <r>
      <rPr>
        <sz val="12"/>
        <rFont val="Arial"/>
        <family val="2"/>
      </rPr>
      <t xml:space="preserve"> </t>
    </r>
    <r>
      <rPr>
        <sz val="12"/>
        <rFont val="Statistical Symbols"/>
      </rPr>
      <t>R</t>
    </r>
    <r>
      <rPr>
        <sz val="10"/>
        <rFont val="Arial"/>
      </rPr>
      <t xml:space="preserve"> x D</t>
    </r>
    <r>
      <rPr>
        <vertAlign val="subscript"/>
        <sz val="10"/>
        <rFont val="Arial"/>
        <family val="2"/>
      </rPr>
      <t>4</t>
    </r>
    <r>
      <rPr>
        <sz val="10"/>
        <rFont val="Arial"/>
      </rPr>
      <t xml:space="preserve"> =</t>
    </r>
  </si>
  <si>
    <r>
      <t>* D</t>
    </r>
    <r>
      <rPr>
        <vertAlign val="subscript"/>
        <sz val="8"/>
        <rFont val="Arial"/>
        <family val="2"/>
      </rPr>
      <t>4</t>
    </r>
    <r>
      <rPr>
        <sz val="8"/>
        <rFont val="Arial"/>
        <family val="2"/>
      </rPr>
      <t xml:space="preserve"> =3.27 for 2 trials and 2.58 for 3 trials.  </t>
    </r>
    <r>
      <rPr>
        <sz val="8"/>
        <rFont val="Arial"/>
        <family val="2"/>
      </rPr>
      <t>UCL</t>
    </r>
    <r>
      <rPr>
        <vertAlign val="subscript"/>
        <sz val="8"/>
        <rFont val="Arial"/>
        <family val="2"/>
      </rPr>
      <t>R</t>
    </r>
    <r>
      <rPr>
        <sz val="8"/>
        <rFont val="Arial"/>
        <family val="2"/>
      </rPr>
      <t xml:space="preserve"> represents the limit of individual R's.  Circle those that are</t>
    </r>
  </si>
  <si>
    <t>beyond this limit.  Identify the cause and correct.  Repeat these readings using the same appraiser and unit as originally used or</t>
  </si>
  <si>
    <r>
      <t xml:space="preserve">discard values and re-average and recompute </t>
    </r>
    <r>
      <rPr>
        <sz val="10"/>
        <rFont val="Statistical Symbols"/>
      </rPr>
      <t>R</t>
    </r>
    <r>
      <rPr>
        <sz val="8"/>
        <rFont val="Arial"/>
        <family val="2"/>
      </rPr>
      <t xml:space="preserve"> and the limiting value from the remaining observations.</t>
    </r>
  </si>
  <si>
    <t>100 (GRR/Tol)</t>
  </si>
  <si>
    <t>Upper - Lower / 6</t>
  </si>
  <si>
    <t>F</t>
  </si>
  <si>
    <r>
      <t>R</t>
    </r>
    <r>
      <rPr>
        <vertAlign val="subscript"/>
        <sz val="10"/>
        <rFont val="Arial"/>
        <family val="2"/>
      </rPr>
      <t>p</t>
    </r>
    <r>
      <rPr>
        <sz val="10"/>
        <rFont val="Arial"/>
      </rPr>
      <t>=</t>
    </r>
  </si>
  <si>
    <t xml:space="preserve">  Total Variation (TV)</t>
  </si>
  <si>
    <r>
      <t>R</t>
    </r>
    <r>
      <rPr>
        <sz val="10"/>
        <rFont val="Arial"/>
      </rPr>
      <t>=</t>
    </r>
  </si>
  <si>
    <t>TV</t>
  </si>
  <si>
    <r>
      <t>x</t>
    </r>
    <r>
      <rPr>
        <vertAlign val="subscript"/>
        <sz val="10"/>
        <rFont val="Arial"/>
        <family val="2"/>
      </rPr>
      <t>DIFF</t>
    </r>
    <r>
      <rPr>
        <sz val="10"/>
        <rFont val="Arial"/>
      </rPr>
      <t>=</t>
    </r>
  </si>
  <si>
    <r>
      <t>UCL</t>
    </r>
    <r>
      <rPr>
        <vertAlign val="subscript"/>
        <sz val="10"/>
        <rFont val="Arial"/>
        <family val="2"/>
      </rPr>
      <t>R</t>
    </r>
    <r>
      <rPr>
        <sz val="10"/>
        <rFont val="Arial"/>
      </rPr>
      <t>=</t>
    </r>
  </si>
  <si>
    <t>Notes:</t>
  </si>
  <si>
    <t>% Tolerance (Tol)</t>
  </si>
  <si>
    <t>100 (EV/Tol)</t>
  </si>
  <si>
    <t>100 (AV/Tol)</t>
  </si>
  <si>
    <t>100 (PV/Tol)</t>
  </si>
  <si>
    <t>Tol</t>
  </si>
  <si>
    <t>PART NO.</t>
  </si>
  <si>
    <t>APPRAISER C</t>
  </si>
  <si>
    <r>
      <t>x</t>
    </r>
    <r>
      <rPr>
        <sz val="8"/>
        <rFont val="Arial"/>
        <family val="2"/>
      </rPr>
      <t xml:space="preserve"> =</t>
    </r>
  </si>
  <si>
    <t>UCL =</t>
  </si>
  <si>
    <t>LCL =</t>
  </si>
  <si>
    <t>AVERAGES (X BAR CHART)</t>
  </si>
  <si>
    <t>X BAR CHART INFORMATION</t>
  </si>
  <si>
    <t>DATAPOINT</t>
  </si>
  <si>
    <t>UCL LINE</t>
  </si>
  <si>
    <t>LCL LINE</t>
  </si>
  <si>
    <r>
      <t>r</t>
    </r>
    <r>
      <rPr>
        <sz val="8"/>
        <rFont val="Arial"/>
        <family val="2"/>
      </rPr>
      <t xml:space="preserve"> =</t>
    </r>
  </si>
  <si>
    <t>RANGES (R CHART)</t>
  </si>
  <si>
    <t>RANGE CHART INFORMATION</t>
  </si>
  <si>
    <t>RANGE</t>
  </si>
  <si>
    <t>EA</t>
  </si>
  <si>
    <t>D I</t>
  </si>
  <si>
    <t>NG</t>
  </si>
  <si>
    <t>SUM</t>
  </si>
  <si>
    <t>SUM NUM</t>
  </si>
  <si>
    <t>HIGH- LOW</t>
  </si>
  <si>
    <t>** = POINT OUT OF CONTROL</t>
  </si>
  <si>
    <r>
      <t>A</t>
    </r>
    <r>
      <rPr>
        <vertAlign val="subscript"/>
        <sz val="10"/>
        <rFont val="Arial"/>
        <family val="2"/>
      </rPr>
      <t>2</t>
    </r>
    <r>
      <rPr>
        <sz val="10"/>
        <rFont val="Arial"/>
        <family val="2"/>
      </rPr>
      <t>=</t>
    </r>
  </si>
  <si>
    <t>PART NAME:</t>
  </si>
  <si>
    <t>A</t>
  </si>
  <si>
    <t>DFMEA:</t>
  </si>
  <si>
    <t>PFMEA:</t>
  </si>
  <si>
    <t>Process Studies:</t>
  </si>
  <si>
    <t>Special Process Characteristics</t>
  </si>
  <si>
    <t>Master Sample</t>
  </si>
  <si>
    <t>SPECIFIC QUANTITY OF MATERIAL AUTHORIZED (IF APPLICABLE):</t>
  </si>
  <si>
    <t>PRODUCTION TRIAL AUTHORIZATION #:</t>
  </si>
  <si>
    <t>REASON(S) FOR INTERIM APPROVAL:</t>
  </si>
  <si>
    <t>PROGRESS REVIEW DATE:</t>
  </si>
  <si>
    <t>DATE MATERIAL DUE AT PLANT:</t>
  </si>
  <si>
    <t>X=Y line</t>
  </si>
  <si>
    <t>PPAP Warrant Disposition:</t>
  </si>
  <si>
    <t>Rev.</t>
  </si>
  <si>
    <t>Tool PO Number</t>
  </si>
  <si>
    <t>(check)</t>
  </si>
  <si>
    <t>Tooling: Transfer, Replacement, Refurbishment, or Additional</t>
  </si>
  <si>
    <t>List Molds / Cavities / Production Processes</t>
  </si>
  <si>
    <t>Organization Authorized Signature</t>
  </si>
  <si>
    <t>E-Mail</t>
  </si>
  <si>
    <t>If applicable</t>
  </si>
  <si>
    <t>USL</t>
  </si>
  <si>
    <t>OK / NOT OK Check</t>
  </si>
  <si>
    <t>Sample 1</t>
  </si>
  <si>
    <t>Sample 2</t>
  </si>
  <si>
    <t>Sample 3</t>
  </si>
  <si>
    <t>Sample 4</t>
  </si>
  <si>
    <t>Sample 5</t>
  </si>
  <si>
    <t>Sample 6</t>
  </si>
  <si>
    <t>0.75 or higher indicates good agreement</t>
  </si>
  <si>
    <t>Less then 0.40 indeicates poor agreement</t>
  </si>
  <si>
    <t>Between 0.40 and 0.75 indicates some agreement</t>
  </si>
  <si>
    <t>REF</t>
  </si>
  <si>
    <t>A * REF Crosstabulation</t>
  </si>
  <si>
    <t>B * REF Crosstabulation</t>
  </si>
  <si>
    <t>AREF Tabulation</t>
  </si>
  <si>
    <t>BREF Tabulation</t>
  </si>
  <si>
    <t>CREF Tabulation</t>
  </si>
  <si>
    <t>A x REF</t>
  </si>
  <si>
    <t>B x REF</t>
  </si>
  <si>
    <t>C x REF</t>
  </si>
  <si>
    <t>Total Inspected</t>
  </si>
  <si>
    <t># Matched</t>
  </si>
  <si>
    <t>False Positive (appraiser biased towards rejection)</t>
  </si>
  <si>
    <t>False Negative (appraiser biased towards acceptance)</t>
  </si>
  <si>
    <t>Mixed</t>
  </si>
  <si>
    <t>Calculated Score</t>
  </si>
  <si>
    <r>
      <t>% Appraiser</t>
    </r>
    <r>
      <rPr>
        <b/>
        <vertAlign val="superscript"/>
        <sz val="10"/>
        <rFont val="Arial"/>
        <family val="2"/>
      </rPr>
      <t>1</t>
    </r>
  </si>
  <si>
    <r>
      <t>% Score vs. Attribute</t>
    </r>
    <r>
      <rPr>
        <b/>
        <vertAlign val="superscript"/>
        <sz val="10"/>
        <rFont val="Arial"/>
        <family val="2"/>
      </rPr>
      <t>2</t>
    </r>
  </si>
  <si>
    <t># in Agreement</t>
  </si>
  <si>
    <t>A analysis</t>
  </si>
  <si>
    <t>B analysis</t>
  </si>
  <si>
    <t>C analysis</t>
  </si>
  <si>
    <t>C * REF Crosstabulation</t>
  </si>
  <si>
    <r>
      <t>System % Effective Score</t>
    </r>
    <r>
      <rPr>
        <b/>
        <vertAlign val="superscript"/>
        <sz val="10"/>
        <rFont val="Arial"/>
        <family val="2"/>
      </rPr>
      <t>3</t>
    </r>
  </si>
  <si>
    <r>
      <t>System % Effective Score vs. Reference</t>
    </r>
    <r>
      <rPr>
        <b/>
        <vertAlign val="superscript"/>
        <sz val="8"/>
        <rFont val="Arial"/>
        <family val="2"/>
      </rPr>
      <t>4</t>
    </r>
  </si>
  <si>
    <r>
      <t>95% UCI</t>
    </r>
    <r>
      <rPr>
        <vertAlign val="superscript"/>
        <sz val="10"/>
        <rFont val="Arial"/>
        <family val="2"/>
      </rPr>
      <t>5</t>
    </r>
  </si>
  <si>
    <r>
      <t>95% LCI</t>
    </r>
    <r>
      <rPr>
        <vertAlign val="superscript"/>
        <sz val="10"/>
        <rFont val="Arial"/>
        <family val="2"/>
      </rPr>
      <t>5</t>
    </r>
  </si>
  <si>
    <t>(1) Appraiser agress with themself on all trials</t>
  </si>
  <si>
    <t>(2) Appraiser agrees on all trials with the known standard</t>
  </si>
  <si>
    <t>(3) All appraisers agreed within and between themselves</t>
  </si>
  <si>
    <t>(4) All appraisers agreed within and between themselves and with the reference</t>
  </si>
  <si>
    <t>LSL</t>
  </si>
  <si>
    <t>Component;</t>
  </si>
  <si>
    <t>Design Responsibility</t>
  </si>
  <si>
    <t xml:space="preserve">  Item 
         Function</t>
  </si>
  <si>
    <t>2)  In the box for Input Y Range select the cells ATT BIAS(Analytic)!D14:D22</t>
  </si>
  <si>
    <t>3)  In the box for Input X Range select the cells ATT BIAS(Analytic)!B14:B22</t>
  </si>
  <si>
    <t>11)  Repeat for high side data</t>
  </si>
  <si>
    <t>INTERIM APPROVAL NUMBER:</t>
  </si>
  <si>
    <t>Part Submission Warrant</t>
  </si>
  <si>
    <t>Dated</t>
  </si>
  <si>
    <t>Additional Engineering Changes</t>
  </si>
  <si>
    <t>Shown on Drawing Number</t>
  </si>
  <si>
    <t>Purchase Order No.</t>
  </si>
  <si>
    <t>Weight (kg)</t>
  </si>
  <si>
    <t>Checking Aid Number</t>
  </si>
  <si>
    <t>A-1</t>
  </si>
  <si>
    <t>A-2</t>
  </si>
  <si>
    <t>A-3</t>
  </si>
  <si>
    <t>B-1</t>
  </si>
  <si>
    <t>B-2</t>
  </si>
  <si>
    <t>B-3</t>
  </si>
  <si>
    <t>C-1</t>
  </si>
  <si>
    <t>C-2</t>
  </si>
  <si>
    <t>C-3</t>
  </si>
  <si>
    <t>Reference</t>
  </si>
  <si>
    <t>Code</t>
  </si>
  <si>
    <t>Reference Value</t>
  </si>
  <si>
    <t>AB Tabulation</t>
  </si>
  <si>
    <t>A * B Crosstabulation</t>
  </si>
  <si>
    <t>B * C Crosstabulation</t>
  </si>
  <si>
    <t>A * C Crosstabulation</t>
  </si>
  <si>
    <t>BC Tabulation</t>
  </si>
  <si>
    <t>AC Tabulation</t>
  </si>
  <si>
    <t>Kappa</t>
  </si>
  <si>
    <t>SUBMISSION INFORMATION</t>
  </si>
  <si>
    <t>REASON FOR SUBMISSION</t>
  </si>
  <si>
    <t>Initial submission</t>
  </si>
  <si>
    <t>Change to Optional Construction or Material</t>
  </si>
  <si>
    <t>Engineering Change(s)</t>
  </si>
  <si>
    <t>Sub-Supplier or Material Source Change</t>
  </si>
  <si>
    <t>Change in Part Processing</t>
  </si>
  <si>
    <r>
      <t>Number of Appraisers = n</t>
    </r>
    <r>
      <rPr>
        <vertAlign val="subscript"/>
        <sz val="10"/>
        <rFont val="Arial"/>
        <family val="2"/>
      </rPr>
      <t>A</t>
    </r>
    <r>
      <rPr>
        <sz val="10"/>
        <rFont val="Arial"/>
      </rPr>
      <t xml:space="preserve"> =</t>
    </r>
  </si>
  <si>
    <r>
      <t xml:space="preserve">SQRT ( </t>
    </r>
    <r>
      <rPr>
        <sz val="10"/>
        <rFont val="Symbol"/>
        <family val="1"/>
        <charset val="2"/>
      </rPr>
      <t>s</t>
    </r>
    <r>
      <rPr>
        <vertAlign val="subscript"/>
        <sz val="10"/>
        <rFont val="Arial"/>
        <family val="2"/>
      </rPr>
      <t>e</t>
    </r>
    <r>
      <rPr>
        <sz val="10"/>
        <rFont val="Arial"/>
      </rPr>
      <t xml:space="preserve"> + </t>
    </r>
    <r>
      <rPr>
        <sz val="10"/>
        <rFont val="Symbol"/>
        <family val="1"/>
        <charset val="2"/>
      </rPr>
      <t>s</t>
    </r>
    <r>
      <rPr>
        <vertAlign val="subscript"/>
        <sz val="10"/>
        <rFont val="Arial"/>
        <family val="2"/>
      </rPr>
      <t>A</t>
    </r>
    <r>
      <rPr>
        <sz val="10"/>
        <rFont val="Arial"/>
      </rPr>
      <t xml:space="preserve"> )</t>
    </r>
  </si>
  <si>
    <r>
      <t>Range of Appraiser Averages = R</t>
    </r>
    <r>
      <rPr>
        <vertAlign val="subscript"/>
        <sz val="10"/>
        <rFont val="Arial"/>
        <family val="2"/>
      </rPr>
      <t xml:space="preserve">A = </t>
    </r>
  </si>
  <si>
    <r>
      <t>Range for these Sample Averages = R</t>
    </r>
    <r>
      <rPr>
        <vertAlign val="subscript"/>
        <sz val="10"/>
        <rFont val="Arial"/>
        <family val="2"/>
      </rPr>
      <t>p</t>
    </r>
    <r>
      <rPr>
        <sz val="10"/>
        <rFont val="Arial"/>
      </rPr>
      <t xml:space="preserve"> =</t>
    </r>
  </si>
  <si>
    <t>This method CANNOT be used for final gage acceptance without other complete and detailed MSA methods.</t>
  </si>
  <si>
    <t>SS</t>
  </si>
  <si>
    <t>MS</t>
  </si>
  <si>
    <t>Correction of Discrepancy</t>
  </si>
  <si>
    <t>Parts produced at Additional Location</t>
  </si>
  <si>
    <t>Actions Taken
&amp; Effective Date</t>
  </si>
  <si>
    <r>
      <t>Current
Design
Controls</t>
    </r>
    <r>
      <rPr>
        <sz val="8"/>
        <rFont val="Arial"/>
        <family val="2"/>
      </rPr>
      <t xml:space="preserve">
Prevention</t>
    </r>
  </si>
  <si>
    <r>
      <t>Current
Design
Controls</t>
    </r>
    <r>
      <rPr>
        <sz val="8"/>
        <rFont val="Arial"/>
        <family val="2"/>
      </rPr>
      <t xml:space="preserve">
Detection</t>
    </r>
  </si>
  <si>
    <t>FMEA Date (Orig.)</t>
  </si>
  <si>
    <t>FMEA Date (Rev.)</t>
  </si>
  <si>
    <t>Other - please specify</t>
  </si>
  <si>
    <t>REQUESTED SUBMISSION LEVEL (Check one)</t>
  </si>
  <si>
    <t>DECLARATION</t>
  </si>
  <si>
    <t>EXPLANATION/COMMENTS:</t>
  </si>
  <si>
    <t>Print Name</t>
  </si>
  <si>
    <t>Phone No.</t>
  </si>
  <si>
    <t>7)  Copy the Line Fit plot graph to the space on the Analytic sheet</t>
  </si>
  <si>
    <t>Fax No.</t>
  </si>
  <si>
    <t>Engineering Drawing Change Level</t>
  </si>
  <si>
    <t>Note:</t>
  </si>
  <si>
    <t>Does this part contain any restricted or reportable substances?</t>
  </si>
  <si>
    <t>Are plastic parts identified with appropriate ISO marking codes?</t>
  </si>
  <si>
    <t>Tooling inactive &gt; than 1 year</t>
  </si>
  <si>
    <t>drawings and specifications and are made from specified materials on regular production tooling with no operations other than the regular</t>
  </si>
  <si>
    <t>Level 5 - Warrant with product samples and complete supporting data reviewed at supplier's manufacturing location.</t>
  </si>
  <si>
    <t>production process.  I also certify that documented evidence of such compliance is on file and available for review.</t>
  </si>
  <si>
    <t>Analysis:</t>
  </si>
  <si>
    <t>Supporting line</t>
  </si>
  <si>
    <t>Supporting Data</t>
  </si>
  <si>
    <t>Appr A</t>
  </si>
  <si>
    <t>Mean</t>
  </si>
  <si>
    <t>Appr C</t>
  </si>
  <si>
    <t>Range</t>
  </si>
  <si>
    <t>Appr B</t>
  </si>
  <si>
    <t>UCL B</t>
  </si>
  <si>
    <t>LCL B</t>
  </si>
  <si>
    <t>UCL C</t>
  </si>
  <si>
    <t>LCL C</t>
  </si>
  <si>
    <t>Rucl B</t>
  </si>
  <si>
    <t>Rucl C</t>
  </si>
  <si>
    <t>A1</t>
  </si>
  <si>
    <t>A2</t>
  </si>
  <si>
    <t>A3</t>
  </si>
  <si>
    <t>B1</t>
  </si>
  <si>
    <t>B2</t>
  </si>
  <si>
    <t>B3</t>
  </si>
  <si>
    <t>C1</t>
  </si>
  <si>
    <t>C2</t>
  </si>
  <si>
    <t>C3</t>
  </si>
  <si>
    <t>Part 1</t>
  </si>
  <si>
    <t>A Value</t>
  </si>
  <si>
    <t>B Value</t>
  </si>
  <si>
    <t>C Value</t>
  </si>
  <si>
    <t>Part 2</t>
  </si>
  <si>
    <t>Part 3</t>
  </si>
  <si>
    <t>Part 4</t>
  </si>
  <si>
    <t>Part 5</t>
  </si>
  <si>
    <t>Part 6</t>
  </si>
  <si>
    <t>Part 7</t>
  </si>
  <si>
    <t>Part 8</t>
  </si>
  <si>
    <t>Part 9</t>
  </si>
  <si>
    <t>Part 10</t>
  </si>
  <si>
    <t>Max</t>
  </si>
  <si>
    <t>Min</t>
  </si>
  <si>
    <t>+</t>
  </si>
  <si>
    <t>-</t>
  </si>
  <si>
    <t>EDITION</t>
  </si>
  <si>
    <t>PRINTING</t>
  </si>
  <si>
    <t>Part Name</t>
  </si>
  <si>
    <t>Part Number</t>
  </si>
  <si>
    <t>Engineering Change Level</t>
  </si>
  <si>
    <t>w/int</t>
  </si>
  <si>
    <t>w/out/int</t>
  </si>
  <si>
    <t>INT</t>
  </si>
  <si>
    <t>NDC Analysis</t>
  </si>
  <si>
    <t>Remarks:</t>
  </si>
  <si>
    <t>Supplier Name</t>
  </si>
  <si>
    <t>Street Address</t>
  </si>
  <si>
    <t>Phone Number</t>
  </si>
  <si>
    <t>Application</t>
  </si>
  <si>
    <t>File Name</t>
  </si>
  <si>
    <t>ADVANCED PRODUCT QUALITY PLANNING AND CONTROL PLAN REFERENCE MANUAL</t>
  </si>
  <si>
    <t>MEASUREMENT SYSTEM ANALYSIS</t>
  </si>
  <si>
    <t>POTENTIAL FAILURE MODE AND EFFECTS ANALYSIS</t>
  </si>
  <si>
    <t>PRODUCTION PART APPROVAL</t>
  </si>
  <si>
    <t xml:space="preserve"> </t>
  </si>
  <si>
    <t>% Tolerance</t>
  </si>
  <si>
    <t>Organization/Plant Approval/Date</t>
  </si>
  <si>
    <t>Organization Code</t>
  </si>
  <si>
    <t>Anova Table</t>
  </si>
  <si>
    <t>Anova Report</t>
  </si>
  <si>
    <t>ndc =</t>
  </si>
  <si>
    <r>
      <t>R</t>
    </r>
    <r>
      <rPr>
        <vertAlign val="subscript"/>
        <sz val="10"/>
        <rFont val="Arial"/>
        <family val="2"/>
      </rPr>
      <t>p</t>
    </r>
    <r>
      <rPr>
        <sz val="10"/>
        <rFont val="Arial"/>
      </rPr>
      <t xml:space="preserve"> / d</t>
    </r>
    <r>
      <rPr>
        <vertAlign val="subscript"/>
        <sz val="10"/>
        <rFont val="Arial"/>
        <family val="2"/>
      </rPr>
      <t>2</t>
    </r>
    <r>
      <rPr>
        <sz val="10"/>
        <rFont val="Arial"/>
        <family val="2"/>
      </rPr>
      <t>*</t>
    </r>
    <r>
      <rPr>
        <sz val="10"/>
        <rFont val="Arial"/>
      </rPr>
      <t xml:space="preserve"> =</t>
    </r>
  </si>
  <si>
    <r>
      <t>Appraiser Effect =</t>
    </r>
    <r>
      <rPr>
        <sz val="10"/>
        <rFont val="Arial"/>
        <family val="2"/>
      </rPr>
      <t xml:space="preserve"> R</t>
    </r>
    <r>
      <rPr>
        <vertAlign val="subscript"/>
        <sz val="10"/>
        <rFont val="Arial"/>
        <family val="2"/>
      </rPr>
      <t>A</t>
    </r>
    <r>
      <rPr>
        <sz val="10"/>
        <rFont val="Arial"/>
      </rPr>
      <t xml:space="preserve"> / d</t>
    </r>
    <r>
      <rPr>
        <vertAlign val="subscript"/>
        <sz val="10"/>
        <rFont val="Arial"/>
        <family val="2"/>
      </rPr>
      <t>2</t>
    </r>
    <r>
      <rPr>
        <sz val="10"/>
        <rFont val="Arial"/>
        <family val="2"/>
      </rPr>
      <t>*</t>
    </r>
    <r>
      <rPr>
        <sz val="10"/>
        <rFont val="Arial"/>
      </rPr>
      <t xml:space="preserve"> = </t>
    </r>
    <r>
      <rPr>
        <sz val="10"/>
        <rFont val="Symbol"/>
        <family val="1"/>
        <charset val="2"/>
      </rPr>
      <t>s</t>
    </r>
    <r>
      <rPr>
        <vertAlign val="subscript"/>
        <sz val="10"/>
        <rFont val="Arial"/>
        <family val="2"/>
      </rPr>
      <t>A</t>
    </r>
    <r>
      <rPr>
        <sz val="10"/>
        <rFont val="Arial"/>
      </rPr>
      <t xml:space="preserve"> = </t>
    </r>
  </si>
  <si>
    <r>
      <t xml:space="preserve">1.41 x </t>
    </r>
    <r>
      <rPr>
        <sz val="10"/>
        <rFont val="Symbol"/>
        <family val="1"/>
        <charset val="2"/>
      </rPr>
      <t>s</t>
    </r>
    <r>
      <rPr>
        <vertAlign val="subscript"/>
        <sz val="10"/>
        <rFont val="Arial"/>
        <family val="2"/>
      </rPr>
      <t>p</t>
    </r>
    <r>
      <rPr>
        <sz val="10"/>
        <rFont val="Arial"/>
      </rPr>
      <t xml:space="preserve"> / </t>
    </r>
    <r>
      <rPr>
        <sz val="10"/>
        <rFont val="Symbol"/>
        <family val="1"/>
        <charset val="2"/>
      </rPr>
      <t>s</t>
    </r>
    <r>
      <rPr>
        <vertAlign val="subscript"/>
        <sz val="10"/>
        <rFont val="Arial"/>
        <family val="2"/>
      </rPr>
      <t>m</t>
    </r>
    <r>
      <rPr>
        <sz val="10"/>
        <rFont val="Arial"/>
      </rPr>
      <t xml:space="preserve"> =</t>
    </r>
  </si>
  <si>
    <t>supporting data</t>
  </si>
  <si>
    <t>divisions</t>
  </si>
  <si>
    <t>Count</t>
  </si>
  <si>
    <t>4)  In the box for Output range select the cells below A23:M60</t>
  </si>
  <si>
    <t>CALCULATION FOR APPRAISER EFFECT:</t>
  </si>
  <si>
    <t>Thus the number of distinct categories that can be reliably distinguished by these measurements is:</t>
  </si>
  <si>
    <t>This is the number of non-overlapping 97% confidence intervals that will span the range of product variation.  (A 97% confidence</t>
  </si>
  <si>
    <t>MATERIAL SPEC. NO. / REV / DATE</t>
  </si>
  <si>
    <t>PART/ 
PROCESS
NUMBER</t>
  </si>
  <si>
    <t>PROCESS NAME/
OPERATION
DESCRIPTION</t>
  </si>
  <si>
    <t>MACHINE,
DEVICE
JIG, TOOLS
FOR MFG.</t>
  </si>
  <si>
    <t>SPECIAL
CHAR.
CLASS</t>
  </si>
  <si>
    <t>CONTROL
METHOD</t>
  </si>
  <si>
    <t>REACTION
PLAN</t>
  </si>
  <si>
    <t>Range Ave=</t>
  </si>
  <si>
    <t>The REFERENCE VALUE can be substituted for PART AVE to generate graphs indicating true bias.</t>
  </si>
  <si>
    <t>RECEIVED DATE:</t>
  </si>
  <si>
    <t>TRACKING CODE:</t>
  </si>
  <si>
    <t>FORMULA DATE:</t>
  </si>
  <si>
    <t>RECEIVED BY:</t>
  </si>
  <si>
    <t>EXPIRATION DATE:</t>
  </si>
  <si>
    <t>RE-SUBMISSION DATE:</t>
  </si>
  <si>
    <t>Control Plans</t>
  </si>
  <si>
    <t>Test results</t>
  </si>
  <si>
    <t>Measurement Systems Studies:</t>
  </si>
  <si>
    <t>Fourth</t>
  </si>
  <si>
    <t>DIMENSION / SPECIFICATION</t>
  </si>
  <si>
    <t>SPECIFICATION / LIMITS</t>
  </si>
  <si>
    <t>TEST DATE</t>
  </si>
  <si>
    <t>QTY. TESTED</t>
  </si>
  <si>
    <t>ORGANIZATION MEASUREMENT RESULTS (DATA)</t>
  </si>
  <si>
    <t>NOT OK</t>
  </si>
  <si>
    <t>** = APPRAISER OUT OF CONTROL</t>
  </si>
  <si>
    <t>INSPECTION FACILITY:</t>
  </si>
  <si>
    <t>ENGINEERING CHANGE DOCUMENTS:</t>
  </si>
  <si>
    <t>Blanket statements of conformance are unacceptable for any test results.</t>
  </si>
  <si>
    <t>MATERIAL SUPPLIER:</t>
  </si>
  <si>
    <t>*CUSTOMER SPECIFIED SUPPLIER / VENDOR CODE:</t>
  </si>
  <si>
    <t>*If source approval is req'd, include the Supplier (Source) &amp; Customer assigned code.</t>
  </si>
  <si>
    <t>NAME of LABORATORY:</t>
  </si>
  <si>
    <t>SUPPLIER TEST RESULTS (DATA)</t>
  </si>
  <si>
    <t>TEST SPECIFICATION / REV / DATE</t>
  </si>
  <si>
    <t>SUPPLIER TEST RESULTS (DATA)/ TEST CONDITIONS</t>
  </si>
  <si>
    <t>Process Design and Development Verification</t>
  </si>
  <si>
    <t>Product and Process Validation</t>
  </si>
  <si>
    <t>Elements to be Completed as Needed</t>
  </si>
  <si>
    <t>Customer Specific Requirements</t>
  </si>
  <si>
    <t>Supplier Considerations</t>
  </si>
  <si>
    <t>Plan agreed to by:  Name / Function</t>
  </si>
  <si>
    <t xml:space="preserve"> Company / Title / Date</t>
  </si>
  <si>
    <t>Control Plan</t>
  </si>
  <si>
    <t>MANUAL</t>
  </si>
  <si>
    <t>FORMS FROM MANUAL</t>
  </si>
  <si>
    <t>THE FOLLOWING EDITIONS OF CORE TOOLS MANUALS WERE USED TO PREPARE THIS FILE</t>
  </si>
  <si>
    <t>Second</t>
  </si>
  <si>
    <t>1)  Click Tools - Data Analysis - Regression</t>
  </si>
  <si>
    <t xml:space="preserve">     (If Data Analysis is not available load Analysis Tool Pak from the Add-Ins menu)</t>
  </si>
  <si>
    <t>5)  Check Line Fit Plots</t>
  </si>
  <si>
    <t>6)  Press OK</t>
  </si>
  <si>
    <t>9)  Change the x axis to Xt</t>
  </si>
  <si>
    <t>10)  Change the y axis to Probability</t>
  </si>
  <si>
    <t>Second Analysis</t>
  </si>
  <si>
    <t>Final Analysis</t>
  </si>
  <si>
    <t>Approved for use as is</t>
  </si>
  <si>
    <t>Not approved for use as is</t>
  </si>
  <si>
    <t>Signature</t>
  </si>
  <si>
    <t>Expected Count</t>
  </si>
  <si>
    <t>Total</t>
  </si>
  <si>
    <t>Requirements</t>
  </si>
  <si>
    <t>Severity</t>
  </si>
  <si>
    <t>Classification</t>
  </si>
  <si>
    <t>Potential 
Causes(s)
of Failure</t>
  </si>
  <si>
    <t>Occurrence</t>
  </si>
  <si>
    <t>Detection</t>
  </si>
  <si>
    <t>RPN</t>
  </si>
  <si>
    <t>Recommended 
Action</t>
  </si>
  <si>
    <t>SUBMISSION LEVEL:</t>
  </si>
  <si>
    <t>PART #:</t>
  </si>
  <si>
    <t>PHONE:</t>
  </si>
  <si>
    <t>CHART NO.</t>
  </si>
  <si>
    <t>OPERATION (Process)</t>
  </si>
  <si>
    <t>PART NAME (Product)</t>
  </si>
  <si>
    <t>SPECIFICATION LIMITS</t>
  </si>
  <si>
    <t>GAGE</t>
  </si>
  <si>
    <t>UNIT OF MEASURE</t>
  </si>
  <si>
    <t>MACHINE</t>
  </si>
  <si>
    <t>ZERO EQUALS</t>
  </si>
  <si>
    <t>x</t>
  </si>
  <si>
    <t>REPLICATION ERROR:</t>
  </si>
  <si>
    <r>
      <t xml:space="preserve">Average Subgroup Range = </t>
    </r>
    <r>
      <rPr>
        <sz val="10"/>
        <rFont val="Statistical Symbols"/>
      </rPr>
      <t>r</t>
    </r>
    <r>
      <rPr>
        <sz val="10"/>
        <rFont val="Arial"/>
      </rPr>
      <t xml:space="preserve"> =</t>
    </r>
  </si>
  <si>
    <t>Source</t>
  </si>
  <si>
    <t>DF</t>
  </si>
  <si>
    <t>Appraiser-by-Part</t>
  </si>
  <si>
    <t>Equipment</t>
  </si>
  <si>
    <r>
      <t>x</t>
    </r>
    <r>
      <rPr>
        <vertAlign val="subscript"/>
        <sz val="10"/>
        <rFont val="Arial"/>
        <family val="2"/>
      </rPr>
      <t>…</t>
    </r>
  </si>
  <si>
    <r>
      <t>x</t>
    </r>
    <r>
      <rPr>
        <vertAlign val="subscript"/>
        <sz val="10"/>
        <rFont val="Arial"/>
        <family val="2"/>
      </rPr>
      <t>1..</t>
    </r>
  </si>
  <si>
    <r>
      <t>x</t>
    </r>
    <r>
      <rPr>
        <vertAlign val="subscript"/>
        <sz val="10"/>
        <rFont val="Arial"/>
        <family val="2"/>
      </rPr>
      <t>2..</t>
    </r>
  </si>
  <si>
    <r>
      <t>x</t>
    </r>
    <r>
      <rPr>
        <vertAlign val="subscript"/>
        <sz val="10"/>
        <rFont val="Arial"/>
        <family val="2"/>
      </rPr>
      <t>3..</t>
    </r>
  </si>
  <si>
    <t>kr</t>
  </si>
  <si>
    <t>nkr</t>
  </si>
  <si>
    <t>nr</t>
  </si>
  <si>
    <r>
      <t>x</t>
    </r>
    <r>
      <rPr>
        <vertAlign val="subscript"/>
        <sz val="10"/>
        <rFont val="Arial"/>
        <family val="2"/>
      </rPr>
      <t>.1.</t>
    </r>
  </si>
  <si>
    <r>
      <t>x</t>
    </r>
    <r>
      <rPr>
        <vertAlign val="subscript"/>
        <sz val="10"/>
        <rFont val="Arial"/>
        <family val="2"/>
      </rPr>
      <t>.2.</t>
    </r>
  </si>
  <si>
    <r>
      <t>x</t>
    </r>
    <r>
      <rPr>
        <vertAlign val="subscript"/>
        <sz val="10"/>
        <rFont val="Arial"/>
        <family val="2"/>
      </rPr>
      <t>.3.</t>
    </r>
  </si>
  <si>
    <r>
      <t>x</t>
    </r>
    <r>
      <rPr>
        <vertAlign val="subscript"/>
        <sz val="10"/>
        <rFont val="Arial"/>
        <family val="2"/>
      </rPr>
      <t>4..</t>
    </r>
  </si>
  <si>
    <r>
      <t>x</t>
    </r>
    <r>
      <rPr>
        <vertAlign val="subscript"/>
        <sz val="10"/>
        <rFont val="Arial"/>
        <family val="2"/>
      </rPr>
      <t>5..</t>
    </r>
  </si>
  <si>
    <r>
      <t>x</t>
    </r>
    <r>
      <rPr>
        <vertAlign val="subscript"/>
        <sz val="10"/>
        <rFont val="Arial"/>
        <family val="2"/>
      </rPr>
      <t>6..</t>
    </r>
  </si>
  <si>
    <r>
      <t>x</t>
    </r>
    <r>
      <rPr>
        <vertAlign val="subscript"/>
        <sz val="10"/>
        <rFont val="Arial"/>
        <family val="2"/>
      </rPr>
      <t>7..</t>
    </r>
  </si>
  <si>
    <r>
      <t>x</t>
    </r>
    <r>
      <rPr>
        <vertAlign val="subscript"/>
        <sz val="10"/>
        <rFont val="Arial"/>
        <family val="2"/>
      </rPr>
      <t>8..</t>
    </r>
  </si>
  <si>
    <r>
      <t>x</t>
    </r>
    <r>
      <rPr>
        <vertAlign val="subscript"/>
        <sz val="10"/>
        <rFont val="Arial"/>
        <family val="2"/>
      </rPr>
      <t>9..</t>
    </r>
  </si>
  <si>
    <r>
      <t>x</t>
    </r>
    <r>
      <rPr>
        <vertAlign val="subscript"/>
        <sz val="10"/>
        <rFont val="Arial"/>
        <family val="2"/>
      </rPr>
      <t>10..</t>
    </r>
  </si>
  <si>
    <t>squared</t>
  </si>
  <si>
    <t>/nr</t>
  </si>
  <si>
    <t>/nkr</t>
  </si>
  <si>
    <t>/kr</t>
  </si>
  <si>
    <r>
      <t>x</t>
    </r>
    <r>
      <rPr>
        <vertAlign val="subscript"/>
        <sz val="10"/>
        <rFont val="Arial"/>
        <family val="2"/>
      </rPr>
      <t>11.</t>
    </r>
  </si>
  <si>
    <r>
      <t>x</t>
    </r>
    <r>
      <rPr>
        <vertAlign val="subscript"/>
        <sz val="10"/>
        <rFont val="Arial"/>
        <family val="2"/>
      </rPr>
      <t>21.</t>
    </r>
  </si>
  <si>
    <r>
      <t>x</t>
    </r>
    <r>
      <rPr>
        <vertAlign val="subscript"/>
        <sz val="10"/>
        <rFont val="Arial"/>
        <family val="2"/>
      </rPr>
      <t>31.</t>
    </r>
  </si>
  <si>
    <r>
      <t>x</t>
    </r>
    <r>
      <rPr>
        <vertAlign val="subscript"/>
        <sz val="10"/>
        <rFont val="Arial"/>
        <family val="2"/>
      </rPr>
      <t>41.</t>
    </r>
  </si>
  <si>
    <r>
      <t>x</t>
    </r>
    <r>
      <rPr>
        <vertAlign val="subscript"/>
        <sz val="10"/>
        <rFont val="Arial"/>
        <family val="2"/>
      </rPr>
      <t>51.</t>
    </r>
  </si>
  <si>
    <r>
      <t>x</t>
    </r>
    <r>
      <rPr>
        <vertAlign val="subscript"/>
        <sz val="10"/>
        <rFont val="Arial"/>
        <family val="2"/>
      </rPr>
      <t>61.</t>
    </r>
  </si>
  <si>
    <r>
      <t>x</t>
    </r>
    <r>
      <rPr>
        <vertAlign val="subscript"/>
        <sz val="10"/>
        <rFont val="Arial"/>
        <family val="2"/>
      </rPr>
      <t>71.</t>
    </r>
  </si>
  <si>
    <r>
      <t>x</t>
    </r>
    <r>
      <rPr>
        <vertAlign val="subscript"/>
        <sz val="10"/>
        <rFont val="Arial"/>
        <family val="2"/>
      </rPr>
      <t>81.</t>
    </r>
  </si>
  <si>
    <r>
      <t>x</t>
    </r>
    <r>
      <rPr>
        <vertAlign val="subscript"/>
        <sz val="10"/>
        <rFont val="Arial"/>
        <family val="2"/>
      </rPr>
      <t>91.</t>
    </r>
  </si>
  <si>
    <r>
      <t>x</t>
    </r>
    <r>
      <rPr>
        <vertAlign val="subscript"/>
        <sz val="10"/>
        <rFont val="Arial"/>
        <family val="2"/>
      </rPr>
      <t>101.</t>
    </r>
  </si>
  <si>
    <r>
      <t>x</t>
    </r>
    <r>
      <rPr>
        <vertAlign val="subscript"/>
        <sz val="10"/>
        <rFont val="Arial"/>
        <family val="2"/>
      </rPr>
      <t>12.</t>
    </r>
  </si>
  <si>
    <r>
      <t>x</t>
    </r>
    <r>
      <rPr>
        <vertAlign val="subscript"/>
        <sz val="10"/>
        <rFont val="Arial"/>
        <family val="2"/>
      </rPr>
      <t>22.</t>
    </r>
  </si>
  <si>
    <r>
      <t>x</t>
    </r>
    <r>
      <rPr>
        <vertAlign val="subscript"/>
        <sz val="10"/>
        <rFont val="Arial"/>
        <family val="2"/>
      </rPr>
      <t>32.</t>
    </r>
  </si>
  <si>
    <r>
      <t>x</t>
    </r>
    <r>
      <rPr>
        <vertAlign val="subscript"/>
        <sz val="10"/>
        <rFont val="Arial"/>
        <family val="2"/>
      </rPr>
      <t>42.</t>
    </r>
  </si>
  <si>
    <r>
      <t>x</t>
    </r>
    <r>
      <rPr>
        <vertAlign val="subscript"/>
        <sz val="10"/>
        <rFont val="Arial"/>
        <family val="2"/>
      </rPr>
      <t>52.</t>
    </r>
  </si>
  <si>
    <r>
      <t>x</t>
    </r>
    <r>
      <rPr>
        <vertAlign val="subscript"/>
        <sz val="10"/>
        <rFont val="Arial"/>
        <family val="2"/>
      </rPr>
      <t>62.</t>
    </r>
  </si>
  <si>
    <r>
      <t>x</t>
    </r>
    <r>
      <rPr>
        <vertAlign val="subscript"/>
        <sz val="10"/>
        <rFont val="Arial"/>
        <family val="2"/>
      </rPr>
      <t>72.</t>
    </r>
  </si>
  <si>
    <r>
      <t>x</t>
    </r>
    <r>
      <rPr>
        <vertAlign val="subscript"/>
        <sz val="10"/>
        <rFont val="Arial"/>
        <family val="2"/>
      </rPr>
      <t>82.</t>
    </r>
  </si>
  <si>
    <r>
      <t>x</t>
    </r>
    <r>
      <rPr>
        <vertAlign val="subscript"/>
        <sz val="10"/>
        <rFont val="Arial"/>
        <family val="2"/>
      </rPr>
      <t>92.</t>
    </r>
  </si>
  <si>
    <r>
      <t>x</t>
    </r>
    <r>
      <rPr>
        <vertAlign val="subscript"/>
        <sz val="10"/>
        <rFont val="Arial"/>
        <family val="2"/>
      </rPr>
      <t>102.</t>
    </r>
  </si>
  <si>
    <r>
      <t>x</t>
    </r>
    <r>
      <rPr>
        <vertAlign val="subscript"/>
        <sz val="10"/>
        <rFont val="Arial"/>
        <family val="2"/>
      </rPr>
      <t>13.</t>
    </r>
  </si>
  <si>
    <r>
      <t>x</t>
    </r>
    <r>
      <rPr>
        <vertAlign val="subscript"/>
        <sz val="10"/>
        <rFont val="Arial"/>
        <family val="2"/>
      </rPr>
      <t>23.</t>
    </r>
  </si>
  <si>
    <r>
      <t>x</t>
    </r>
    <r>
      <rPr>
        <vertAlign val="subscript"/>
        <sz val="10"/>
        <rFont val="Arial"/>
        <family val="2"/>
      </rPr>
      <t>33.</t>
    </r>
  </si>
  <si>
    <r>
      <t>x</t>
    </r>
    <r>
      <rPr>
        <vertAlign val="subscript"/>
        <sz val="10"/>
        <rFont val="Arial"/>
        <family val="2"/>
      </rPr>
      <t>43.</t>
    </r>
  </si>
  <si>
    <r>
      <t>x</t>
    </r>
    <r>
      <rPr>
        <vertAlign val="subscript"/>
        <sz val="10"/>
        <rFont val="Arial"/>
        <family val="2"/>
      </rPr>
      <t>53.</t>
    </r>
  </si>
  <si>
    <r>
      <t>x</t>
    </r>
    <r>
      <rPr>
        <vertAlign val="subscript"/>
        <sz val="10"/>
        <rFont val="Arial"/>
        <family val="2"/>
      </rPr>
      <t>63.</t>
    </r>
  </si>
  <si>
    <r>
      <t>x</t>
    </r>
    <r>
      <rPr>
        <vertAlign val="subscript"/>
        <sz val="10"/>
        <rFont val="Arial"/>
        <family val="2"/>
      </rPr>
      <t>73.</t>
    </r>
  </si>
  <si>
    <r>
      <t>x</t>
    </r>
    <r>
      <rPr>
        <vertAlign val="subscript"/>
        <sz val="10"/>
        <rFont val="Arial"/>
        <family val="2"/>
      </rPr>
      <t>83.</t>
    </r>
  </si>
  <si>
    <r>
      <t>x</t>
    </r>
    <r>
      <rPr>
        <vertAlign val="subscript"/>
        <sz val="10"/>
        <rFont val="Arial"/>
        <family val="2"/>
      </rPr>
      <t>93.</t>
    </r>
  </si>
  <si>
    <r>
      <t>x</t>
    </r>
    <r>
      <rPr>
        <vertAlign val="subscript"/>
        <sz val="10"/>
        <rFont val="Arial"/>
        <family val="2"/>
      </rPr>
      <t>103.</t>
    </r>
  </si>
  <si>
    <t>/r</t>
  </si>
  <si>
    <t>Trial 1</t>
  </si>
  <si>
    <t>Trial 2</t>
  </si>
  <si>
    <t>Trial 3</t>
  </si>
  <si>
    <t>Squared</t>
  </si>
  <si>
    <t>Sig</t>
  </si>
  <si>
    <r>
      <t xml:space="preserve">* Significant at </t>
    </r>
    <r>
      <rPr>
        <sz val="10"/>
        <rFont val="Symbol"/>
        <family val="1"/>
        <charset val="2"/>
      </rPr>
      <t>a</t>
    </r>
    <r>
      <rPr>
        <sz val="10"/>
        <rFont val="Arial"/>
      </rPr>
      <t xml:space="preserve"> = 0.05 level</t>
    </r>
  </si>
  <si>
    <t>% Total Variation</t>
  </si>
  <si>
    <t>% Contribution</t>
  </si>
  <si>
    <t>Repeatability (EV)</t>
  </si>
  <si>
    <t>Reproducibility (AV)</t>
  </si>
  <si>
    <t>Appraiser by Part (INT)</t>
  </si>
  <si>
    <t>Part-to-Part (PV)</t>
  </si>
  <si>
    <r>
      <t>MS</t>
    </r>
    <r>
      <rPr>
        <vertAlign val="subscript"/>
        <sz val="10"/>
        <rFont val="Arial"/>
        <family val="2"/>
      </rPr>
      <t>pool</t>
    </r>
  </si>
  <si>
    <t xml:space="preserve">Number of replications = Subgroup Size = r  = </t>
  </si>
  <si>
    <r>
      <t>d</t>
    </r>
    <r>
      <rPr>
        <b/>
        <vertAlign val="subscript"/>
        <sz val="10"/>
        <rFont val="Arial"/>
        <family val="2"/>
      </rPr>
      <t>2</t>
    </r>
  </si>
  <si>
    <t>ATTRIBUTE HYPOTHESIS TEST  METHOD</t>
  </si>
  <si>
    <t>Appraiser Averages</t>
  </si>
  <si>
    <t>Average</t>
  </si>
  <si>
    <r>
      <t>d</t>
    </r>
    <r>
      <rPr>
        <b/>
        <vertAlign val="subscript"/>
        <sz val="10"/>
        <rFont val="Arial"/>
        <family val="2"/>
      </rPr>
      <t>2</t>
    </r>
    <r>
      <rPr>
        <b/>
        <sz val="10"/>
        <rFont val="Arial"/>
        <family val="2"/>
      </rPr>
      <t>*</t>
    </r>
  </si>
  <si>
    <t>Number of Samples = n =</t>
  </si>
  <si>
    <r>
      <t>n</t>
    </r>
    <r>
      <rPr>
        <b/>
        <vertAlign val="subscript"/>
        <sz val="10"/>
        <rFont val="Arial"/>
        <family val="2"/>
      </rPr>
      <t>o</t>
    </r>
  </si>
  <si>
    <r>
      <t xml:space="preserve">Estimate Replication Standard Deviation </t>
    </r>
    <r>
      <rPr>
        <sz val="10"/>
        <rFont val="Statistical Symbols"/>
      </rPr>
      <t>r</t>
    </r>
    <r>
      <rPr>
        <sz val="10"/>
        <rFont val="Arial"/>
      </rPr>
      <t xml:space="preserve"> / d</t>
    </r>
    <r>
      <rPr>
        <vertAlign val="subscript"/>
        <sz val="10"/>
        <rFont val="Arial"/>
        <family val="2"/>
      </rPr>
      <t>2</t>
    </r>
    <r>
      <rPr>
        <sz val="10"/>
        <rFont val="Arial"/>
      </rPr>
      <t xml:space="preserve"> = </t>
    </r>
    <r>
      <rPr>
        <sz val="10"/>
        <rFont val="Symbol"/>
        <family val="1"/>
        <charset val="2"/>
      </rPr>
      <t>s</t>
    </r>
    <r>
      <rPr>
        <vertAlign val="subscript"/>
        <sz val="10"/>
        <rFont val="Arial"/>
        <family val="2"/>
      </rPr>
      <t>e</t>
    </r>
    <r>
      <rPr>
        <sz val="10"/>
        <rFont val="Arial"/>
        <family val="2"/>
      </rPr>
      <t xml:space="preserve"> =</t>
    </r>
  </si>
  <si>
    <t>CALCULATIONS FOR MEASUREMENT ERROR STANDARD DEVIATION:</t>
  </si>
  <si>
    <r>
      <t>s</t>
    </r>
    <r>
      <rPr>
        <vertAlign val="subscript"/>
        <sz val="10"/>
        <rFont val="Arial"/>
        <family val="2"/>
      </rPr>
      <t>m</t>
    </r>
    <r>
      <rPr>
        <sz val="10"/>
        <rFont val="Arial"/>
      </rPr>
      <t/>
    </r>
  </si>
  <si>
    <t>CALCULATIONS FOR SIGNAL TO NOISE RATIO:</t>
  </si>
  <si>
    <t>Sample Averages</t>
  </si>
  <si>
    <t>Sample</t>
  </si>
  <si>
    <t>Estimate Sample to Sample Standard Deviation:</t>
  </si>
  <si>
    <t>Signal to Noise Ratio:</t>
  </si>
  <si>
    <r>
      <t>s</t>
    </r>
    <r>
      <rPr>
        <vertAlign val="subscript"/>
        <sz val="10"/>
        <rFont val="Arial"/>
        <family val="2"/>
      </rPr>
      <t>p</t>
    </r>
    <r>
      <rPr>
        <sz val="10"/>
        <rFont val="Arial"/>
      </rPr>
      <t xml:space="preserve"> / </t>
    </r>
    <r>
      <rPr>
        <sz val="10"/>
        <rFont val="Symbol"/>
        <family val="1"/>
        <charset val="2"/>
      </rPr>
      <t>s</t>
    </r>
    <r>
      <rPr>
        <vertAlign val="subscript"/>
        <sz val="10"/>
        <rFont val="Arial"/>
        <family val="2"/>
      </rPr>
      <t>m</t>
    </r>
    <r>
      <rPr>
        <sz val="10"/>
        <rFont val="Arial"/>
      </rPr>
      <t xml:space="preserve"> =</t>
    </r>
  </si>
  <si>
    <r>
      <t>s</t>
    </r>
    <r>
      <rPr>
        <vertAlign val="subscript"/>
        <sz val="10"/>
        <rFont val="Arial"/>
        <family val="2"/>
      </rPr>
      <t>p</t>
    </r>
    <r>
      <rPr>
        <sz val="10"/>
        <rFont val="Arial"/>
      </rPr>
      <t/>
    </r>
  </si>
  <si>
    <t>interval centered on a single measurement would contain the actual product value that is represented by that measurement 97%</t>
  </si>
  <si>
    <t>of the time.)</t>
  </si>
  <si>
    <t>Computations for the Control Chart Method of Evaluating a Measurement Process</t>
  </si>
  <si>
    <t>Rucl</t>
  </si>
  <si>
    <t>Primary Responsibility</t>
  </si>
  <si>
    <r>
      <t>(</t>
    </r>
    <r>
      <rPr>
        <sz val="12"/>
        <rFont val="Statistical Symbols"/>
      </rPr>
      <t>r</t>
    </r>
    <r>
      <rPr>
        <vertAlign val="subscript"/>
        <sz val="10"/>
        <rFont val="Arial"/>
        <family val="2"/>
      </rPr>
      <t>a</t>
    </r>
    <r>
      <rPr>
        <sz val="10"/>
        <rFont val="Arial"/>
      </rPr>
      <t xml:space="preserve"> + </t>
    </r>
    <r>
      <rPr>
        <sz val="12"/>
        <rFont val="Statistical Symbols"/>
      </rPr>
      <t>r</t>
    </r>
    <r>
      <rPr>
        <vertAlign val="subscript"/>
        <sz val="10"/>
        <rFont val="Arial"/>
        <family val="2"/>
      </rPr>
      <t>b</t>
    </r>
    <r>
      <rPr>
        <sz val="10"/>
        <rFont val="Arial"/>
      </rPr>
      <t xml:space="preserve"> + </t>
    </r>
    <r>
      <rPr>
        <sz val="12"/>
        <rFont val="Statistical Symbols"/>
      </rPr>
      <t>r</t>
    </r>
    <r>
      <rPr>
        <vertAlign val="subscript"/>
        <sz val="10"/>
        <rFont val="Arial"/>
        <family val="2"/>
      </rPr>
      <t>c</t>
    </r>
    <r>
      <rPr>
        <sz val="10"/>
        <rFont val="Arial"/>
      </rPr>
      <t>) / (# OF APPRAISERS) =</t>
    </r>
  </si>
  <si>
    <r>
      <t>{(</t>
    </r>
    <r>
      <rPr>
        <sz val="12"/>
        <rFont val="Statistical Symbols"/>
      </rPr>
      <t>x</t>
    </r>
    <r>
      <rPr>
        <vertAlign val="subscript"/>
        <sz val="10"/>
        <rFont val="Arial"/>
        <family val="2"/>
      </rPr>
      <t>DIFF</t>
    </r>
    <r>
      <rPr>
        <sz val="10"/>
        <rFont val="Arial"/>
      </rPr>
      <t xml:space="preserve"> x K</t>
    </r>
    <r>
      <rPr>
        <vertAlign val="subscript"/>
        <sz val="10"/>
        <rFont val="Arial"/>
        <family val="2"/>
      </rPr>
      <t>2</t>
    </r>
    <r>
      <rPr>
        <sz val="10"/>
        <rFont val="Arial"/>
      </rPr>
      <t>)</t>
    </r>
    <r>
      <rPr>
        <vertAlign val="superscript"/>
        <sz val="10"/>
        <rFont val="Arial"/>
        <family val="2"/>
      </rPr>
      <t>2</t>
    </r>
    <r>
      <rPr>
        <sz val="10"/>
        <rFont val="Arial"/>
      </rPr>
      <t xml:space="preserve"> - (EV</t>
    </r>
    <r>
      <rPr>
        <vertAlign val="superscript"/>
        <sz val="10"/>
        <rFont val="Arial"/>
        <family val="2"/>
      </rPr>
      <t>2</t>
    </r>
    <r>
      <rPr>
        <sz val="10"/>
        <rFont val="Arial"/>
      </rPr>
      <t>/nr)}</t>
    </r>
    <r>
      <rPr>
        <vertAlign val="superscript"/>
        <sz val="10"/>
        <rFont val="Arial"/>
        <family val="2"/>
      </rPr>
      <t>1/2</t>
    </r>
  </si>
  <si>
    <t>8)  Change the graph title to GPC - Low Side Normal Prob Paper</t>
  </si>
  <si>
    <t>ANALYTICAL METHOD - LOW LIMIT</t>
  </si>
  <si>
    <t>ANALYTICAL METHOD - HIGH LIMIT</t>
  </si>
  <si>
    <t>ANALYTICAL METHOD - GAGE PERFORMANCE CURVE</t>
  </si>
  <si>
    <r>
      <t>s</t>
    </r>
    <r>
      <rPr>
        <vertAlign val="subscript"/>
        <sz val="10"/>
        <rFont val="Arial"/>
        <family val="2"/>
      </rPr>
      <t>GRR</t>
    </r>
  </si>
  <si>
    <t>Bias</t>
  </si>
  <si>
    <t>HIGH LIMIT RESULTS*</t>
  </si>
  <si>
    <t>*Curve can be generated from low or high limit results if symmetry is assumed.</t>
  </si>
  <si>
    <t>LOW LIMIT RESULTS*</t>
  </si>
  <si>
    <t>Measurement</t>
  </si>
  <si>
    <t>P(pass)</t>
  </si>
  <si>
    <t>REMARKS</t>
  </si>
  <si>
    <t>Acceptance criteria:</t>
  </si>
  <si>
    <t>The calculated score of the appraiser falls between the confidence interval of the other.</t>
  </si>
  <si>
    <t>The effectiveness of both appraisers is the same</t>
  </si>
  <si>
    <t>The effectiveness of both appraisers is not the same</t>
  </si>
  <si>
    <t>EFFECTIVENESS EVALUATION</t>
  </si>
  <si>
    <t>Appraiser A vs. Appraiser B</t>
  </si>
  <si>
    <t>Appraiser A vs. Appraiser C</t>
  </si>
  <si>
    <t>Appraiser B vs. Appraiser C</t>
  </si>
  <si>
    <t>(Null hypothesis)</t>
  </si>
  <si>
    <t>(Alternative Hypothesis)</t>
  </si>
  <si>
    <t>Effectiveness</t>
  </si>
  <si>
    <t>Miss Rate</t>
  </si>
  <si>
    <t>False Alarm Rate</t>
  </si>
  <si>
    <t>Measurement System Decision</t>
  </si>
  <si>
    <t>EVALUATION CRITERIA</t>
  </si>
  <si>
    <t>Acceptable for the appraiser</t>
  </si>
  <si>
    <t>Marginally acceptable fo the appraiser - may need improvement</t>
  </si>
  <si>
    <t>Unacceptable for the appraiser - needs improvement</t>
  </si>
  <si>
    <t>&gt;90%</t>
  </si>
  <si>
    <t>&gt;80%</t>
  </si>
  <si>
    <t>&lt;80%</t>
  </si>
  <si>
    <t>&lt;2%</t>
  </si>
  <si>
    <t>&lt;5%</t>
  </si>
  <si>
    <t>&gt;5%</t>
  </si>
  <si>
    <t>&lt;10%</t>
  </si>
  <si>
    <t>&gt;10%</t>
  </si>
  <si>
    <t>RESULTS SUMMARY</t>
  </si>
  <si>
    <r>
      <t>K</t>
    </r>
    <r>
      <rPr>
        <b/>
        <vertAlign val="subscript"/>
        <sz val="10"/>
        <rFont val="Arial"/>
        <family val="2"/>
      </rPr>
      <t>2</t>
    </r>
  </si>
  <si>
    <r>
      <t>K</t>
    </r>
    <r>
      <rPr>
        <b/>
        <vertAlign val="subscript"/>
        <sz val="10"/>
        <rFont val="Arial"/>
        <family val="2"/>
      </rPr>
      <t>1</t>
    </r>
  </si>
  <si>
    <t>PART NUMBER</t>
  </si>
  <si>
    <t>SIGNATURE</t>
  </si>
  <si>
    <t>DATE</t>
  </si>
  <si>
    <t>DATE:</t>
  </si>
  <si>
    <t>PART NUMBER:</t>
  </si>
  <si>
    <t>CHARACTERISTICS</t>
  </si>
  <si>
    <t>Potential 
Effect(s) 
of Failure</t>
  </si>
  <si>
    <t>Potential 
Failure 
Mode</t>
  </si>
  <si>
    <t>Do not overtype below!</t>
  </si>
  <si>
    <t>Recommended 
Action(s)</t>
  </si>
  <si>
    <t>Responsibility 
&amp; Target 
Completion 
Date</t>
  </si>
  <si>
    <t>PROCESS</t>
  </si>
  <si>
    <t>Total variation (TV) =</t>
  </si>
  <si>
    <t>Tolerance =</t>
  </si>
  <si>
    <t>Number of distinct data categories (ndc) =</t>
  </si>
  <si>
    <t>Supplier</t>
  </si>
  <si>
    <t>Item:</t>
  </si>
  <si>
    <t xml:space="preserve">Model Year(s)/Program(s)  </t>
  </si>
  <si>
    <r>
      <t>Current
Process
Controls</t>
    </r>
    <r>
      <rPr>
        <sz val="8"/>
        <rFont val="Arial"/>
        <family val="2"/>
      </rPr>
      <t xml:space="preserve">
Prevention</t>
    </r>
  </si>
  <si>
    <r>
      <t>Current
Process
Controls</t>
    </r>
    <r>
      <rPr>
        <sz val="8"/>
        <rFont val="Arial"/>
        <family val="2"/>
      </rPr>
      <t xml:space="preserve">
Detection</t>
    </r>
  </si>
  <si>
    <t>Appraiser</t>
  </si>
  <si>
    <t>Upper Limit</t>
  </si>
  <si>
    <t>Lower Limit</t>
  </si>
  <si>
    <t>ATTRIBUTE DATA</t>
  </si>
  <si>
    <r>
      <t>X</t>
    </r>
    <r>
      <rPr>
        <vertAlign val="subscript"/>
        <sz val="10"/>
        <rFont val="Arial"/>
        <family val="2"/>
      </rPr>
      <t>T</t>
    </r>
  </si>
  <si>
    <r>
      <t>P'</t>
    </r>
    <r>
      <rPr>
        <vertAlign val="subscript"/>
        <sz val="10"/>
        <rFont val="Arial"/>
        <family val="2"/>
      </rPr>
      <t>a</t>
    </r>
  </si>
  <si>
    <t>After entering data, follow the directions on the tab marked</t>
  </si>
  <si>
    <t>'Graph' to create the Gage Performance Curve</t>
  </si>
  <si>
    <t>FROM THE GRAPH</t>
  </si>
  <si>
    <t>ENTER THE FOLLOWING:</t>
  </si>
  <si>
    <r>
      <t>X</t>
    </r>
    <r>
      <rPr>
        <vertAlign val="subscript"/>
        <sz val="10"/>
        <rFont val="Arial"/>
        <family val="2"/>
      </rPr>
      <t>T</t>
    </r>
    <r>
      <rPr>
        <sz val="10"/>
        <rFont val="Arial"/>
      </rPr>
      <t xml:space="preserve"> (P=.5) =</t>
    </r>
  </si>
  <si>
    <r>
      <t>X</t>
    </r>
    <r>
      <rPr>
        <vertAlign val="subscript"/>
        <sz val="10"/>
        <rFont val="Arial"/>
        <family val="2"/>
      </rPr>
      <t xml:space="preserve">T </t>
    </r>
    <r>
      <rPr>
        <sz val="10"/>
        <rFont val="Arial"/>
      </rPr>
      <t>(P=.995) =</t>
    </r>
  </si>
  <si>
    <r>
      <t>X</t>
    </r>
    <r>
      <rPr>
        <vertAlign val="subscript"/>
        <sz val="10"/>
        <rFont val="Arial"/>
        <family val="2"/>
      </rPr>
      <t xml:space="preserve">T </t>
    </r>
    <r>
      <rPr>
        <sz val="10"/>
        <rFont val="Arial"/>
      </rPr>
      <t>(P=.005) =</t>
    </r>
  </si>
  <si>
    <t xml:space="preserve">  Bias</t>
  </si>
  <si>
    <t>READING</t>
  </si>
  <si>
    <t>n/a</t>
  </si>
  <si>
    <t xml:space="preserve">APPRAISER </t>
  </si>
  <si>
    <t>LOWER SPECIFICATION</t>
  </si>
  <si>
    <t>UPPER SPECIFICATION</t>
  </si>
  <si>
    <t>E2</t>
  </si>
  <si>
    <t>GAGE R ANALYSIS</t>
  </si>
  <si>
    <t>Data in control?</t>
  </si>
  <si>
    <t>% Repeatability =</t>
  </si>
  <si>
    <t>Directions for Gage Performance Curve for Attribute Analytical Method Form</t>
  </si>
  <si>
    <t>Upper Specification</t>
  </si>
  <si>
    <t>Lower Specification</t>
  </si>
  <si>
    <t>DATA TABLE</t>
  </si>
  <si>
    <t>DATA TABLE CONTINUED</t>
  </si>
  <si>
    <t>Risk Analysis</t>
  </si>
  <si>
    <t>DETERMINATION</t>
  </si>
  <si>
    <t>A x B</t>
  </si>
  <si>
    <t>A x C</t>
  </si>
  <si>
    <t>B x C</t>
  </si>
  <si>
    <t xml:space="preserve">  Repeatability</t>
  </si>
  <si>
    <t xml:space="preserve">  t Statistic</t>
  </si>
  <si>
    <t>31.3 IBI / R</t>
  </si>
  <si>
    <r>
      <t>t</t>
    </r>
    <r>
      <rPr>
        <vertAlign val="subscript"/>
        <sz val="10"/>
        <rFont val="Arial"/>
        <family val="2"/>
      </rPr>
      <t>0.025,19</t>
    </r>
  </si>
  <si>
    <t xml:space="preserve">  Result</t>
  </si>
  <si>
    <t>GAGE REPEATABILITY AND REPRODUCIBILITY DATA SHEET</t>
  </si>
  <si>
    <t>VARIABLE DATA RESULTS</t>
  </si>
  <si>
    <t xml:space="preserve">     AVE ( Xp )</t>
  </si>
  <si>
    <t>Date</t>
  </si>
  <si>
    <t>Remarks</t>
  </si>
  <si>
    <t>PART DESCRIPTION:</t>
  </si>
  <si>
    <t>ECL:</t>
  </si>
  <si>
    <t>PREPARED BY:</t>
  </si>
  <si>
    <t>STEP</t>
  </si>
  <si>
    <t>OPERATION DESCRIPTION</t>
  </si>
  <si>
    <t>PRODUCT AND PROCESS CHARACTERISTICS</t>
  </si>
  <si>
    <t>CONTROL METHODS</t>
  </si>
  <si>
    <t>Process Responsibility</t>
  </si>
  <si>
    <t>Core Team</t>
  </si>
  <si>
    <t>Key Date</t>
  </si>
  <si>
    <t>Process Flow Diagram</t>
  </si>
  <si>
    <t>TOLERANCE</t>
  </si>
  <si>
    <t>FMEA Number:</t>
  </si>
  <si>
    <t>Prepared by:</t>
  </si>
  <si>
    <t>Date (Orig.)</t>
  </si>
  <si>
    <t>Date (Rev.)</t>
  </si>
  <si>
    <t>C</t>
  </si>
  <si>
    <t>S</t>
  </si>
  <si>
    <t>Action Results</t>
  </si>
  <si>
    <t>a</t>
  </si>
  <si>
    <t>t</t>
  </si>
  <si>
    <t>r</t>
  </si>
  <si>
    <t>System</t>
  </si>
  <si>
    <t>Subsystem</t>
  </si>
  <si>
    <t>Core Team:</t>
  </si>
  <si>
    <t>Product Design and Development Verification</t>
  </si>
  <si>
    <t>Design FMEA</t>
  </si>
  <si>
    <t>Design Matrix</t>
  </si>
  <si>
    <t>Special Product Characteristics</t>
  </si>
  <si>
    <t>Design Records</t>
  </si>
  <si>
    <t>Prototype Control Plan</t>
  </si>
  <si>
    <t>Appearance Approval Report</t>
  </si>
  <si>
    <t>Master Samples</t>
  </si>
  <si>
    <t>Test Results</t>
  </si>
  <si>
    <t>Checking Aids</t>
  </si>
  <si>
    <t>Engineering Approval</t>
  </si>
  <si>
    <t>Process Flow Diagrams</t>
  </si>
  <si>
    <t>Process FMEA</t>
  </si>
  <si>
    <t>Pre-launch Control Plan</t>
  </si>
  <si>
    <t>Production Control Plan</t>
  </si>
  <si>
    <t>Measurement System Studies</t>
  </si>
  <si>
    <t>Interim Approval</t>
  </si>
  <si>
    <t>Initial Process Studies</t>
  </si>
  <si>
    <t>Customer Plant Connection</t>
  </si>
  <si>
    <t>Change Documentation</t>
  </si>
  <si>
    <t>Required /</t>
  </si>
  <si>
    <t>Target Date</t>
  </si>
  <si>
    <t>Comments /</t>
  </si>
  <si>
    <t>Conditions</t>
  </si>
  <si>
    <t>Approved</t>
  </si>
  <si>
    <t>by / date</t>
  </si>
  <si>
    <t>Project:</t>
  </si>
  <si>
    <t>BULK MATERIAL INTERIM APPROVAL FORM</t>
  </si>
  <si>
    <t>Control Plan Number</t>
  </si>
  <si>
    <t>Key Contact/Phone</t>
  </si>
  <si>
    <r>
      <t xml:space="preserve">   For information on the theory and constants used in the form see </t>
    </r>
    <r>
      <rPr>
        <i/>
        <sz val="10"/>
        <rFont val="Arial"/>
        <family val="2"/>
      </rPr>
      <t>MSA Reference Manual</t>
    </r>
    <r>
      <rPr>
        <sz val="10"/>
        <rFont val="Arial"/>
      </rPr>
      <t>, Fourth edition.</t>
    </r>
  </si>
  <si>
    <t xml:space="preserve">                                                                                                                                                                                                                                                                        </t>
  </si>
  <si>
    <t>OPERATION</t>
  </si>
  <si>
    <t>PPAP Submission</t>
  </si>
  <si>
    <t>Revision</t>
  </si>
  <si>
    <t>Change Made</t>
  </si>
  <si>
    <t>Revised by</t>
  </si>
  <si>
    <t>Tab Changed</t>
  </si>
  <si>
    <t>DELAY</t>
  </si>
  <si>
    <t>SET-UP</t>
  </si>
  <si>
    <t>PPAP SAMPLE PARTS</t>
  </si>
  <si>
    <t>INSPECTION VERIFICATION REQUIRED</t>
  </si>
  <si>
    <t xml:space="preserve">Purchase Order#: </t>
  </si>
  <si>
    <t xml:space="preserve">Part Number: </t>
  </si>
  <si>
    <t xml:space="preserve">Revision Level: </t>
  </si>
  <si>
    <t xml:space="preserve">Supplier Name: </t>
  </si>
  <si>
    <t>Required Documents</t>
  </si>
  <si>
    <t>Additional Comments</t>
  </si>
  <si>
    <t>Part Submission Warrant (PSW)</t>
  </si>
  <si>
    <t>Authorized Engineering Change Documentation</t>
  </si>
  <si>
    <t>Qualified Laboratory Documentation</t>
  </si>
  <si>
    <t>Lab Scope and outside lab
proof of accreditation.</t>
  </si>
  <si>
    <t>Appearance Approval
Report</t>
  </si>
  <si>
    <t>Part specific assembly or checking aids</t>
  </si>
  <si>
    <t>PFMEA LISTS 4th Edition</t>
  </si>
  <si>
    <t>SEVERITY SCALE</t>
  </si>
  <si>
    <t>OCCURRENCE SCALE</t>
  </si>
  <si>
    <t xml:space="preserve"> OCCURRENCE SCALE</t>
  </si>
  <si>
    <t>DETECTION SCALE</t>
  </si>
  <si>
    <t>TRANSPORTATION</t>
  </si>
  <si>
    <t>STORAGE</t>
  </si>
  <si>
    <t>INSPECTION</t>
  </si>
  <si>
    <t>PROCESS DOCUMENTATION</t>
  </si>
  <si>
    <t>SC</t>
  </si>
  <si>
    <t>Function</t>
  </si>
  <si>
    <t>Process Step</t>
  </si>
  <si>
    <t xml:space="preserve">Use Supplied Truck or  PSW only
</t>
  </si>
  <si>
    <t>GAP CLOSURE PLAN</t>
  </si>
  <si>
    <t>Item #</t>
  </si>
  <si>
    <t>Operation #</t>
  </si>
  <si>
    <t>Feature Description</t>
  </si>
  <si>
    <t>Customer or Supplier Indentified KC</t>
  </si>
  <si>
    <t>CTQ Type</t>
  </si>
  <si>
    <t>Cpk Result</t>
  </si>
  <si>
    <t>Cpk Action</t>
  </si>
  <si>
    <t>Comment and/or
Action Item to Close Gap</t>
  </si>
  <si>
    <t>Target Completion Date</t>
  </si>
  <si>
    <t>Responsibility</t>
  </si>
  <si>
    <t>Lathe 1</t>
  </si>
  <si>
    <t>.148 - .150 Dia</t>
  </si>
  <si>
    <t>KPC1</t>
  </si>
  <si>
    <t>Between 1.0 and 1.32 - Caution</t>
  </si>
  <si>
    <t>SPC Implementation</t>
  </si>
  <si>
    <t>Mike Anderson</t>
  </si>
  <si>
    <t>CTQ FEATURE TYPE</t>
  </si>
  <si>
    <t>16 Surface Finish</t>
  </si>
  <si>
    <t>&gt;= 1.33 - No action required</t>
  </si>
  <si>
    <t>CTQC</t>
  </si>
  <si>
    <t>CTSC</t>
  </si>
  <si>
    <t>KPC2</t>
  </si>
  <si>
    <t>Note:  Lathe 1:  Okuma L250E Cell 1</t>
  </si>
  <si>
    <t>FSC</t>
  </si>
  <si>
    <t>Cpk RESULT</t>
  </si>
  <si>
    <t>&lt; 1.0 - Action Plan Required</t>
  </si>
  <si>
    <t>Ex 1</t>
  </si>
  <si>
    <t>Ex 2</t>
  </si>
  <si>
    <t>Gauge</t>
  </si>
  <si>
    <t>Gage R&amp;R Type</t>
  </si>
  <si>
    <t>Gage R&amp;R Result</t>
  </si>
  <si>
    <t>Gage R&amp;R Long-Form Study</t>
  </si>
  <si>
    <t>GAGE STUDY TYPE</t>
  </si>
  <si>
    <t>Gage R&amp;R Short Form Study</t>
  </si>
  <si>
    <t>Gage R&amp;R Attribute Study</t>
  </si>
  <si>
    <t>Gage R&amp;R for CMM</t>
  </si>
  <si>
    <t>Destructive GRR</t>
  </si>
  <si>
    <t>Balancing Study</t>
  </si>
  <si>
    <t>Hardness Study</t>
  </si>
  <si>
    <t>Test Rig Calibration</t>
  </si>
  <si>
    <t>Other</t>
  </si>
  <si>
    <t>Master Sample(s) Information</t>
  </si>
  <si>
    <t>Quantitiy</t>
  </si>
  <si>
    <t>Supplier Storage Location</t>
  </si>
  <si>
    <t>Device ID</t>
  </si>
  <si>
    <t>Noncompliance to a government regulation</t>
  </si>
  <si>
    <t xml:space="preserve">A safety hazard </t>
  </si>
  <si>
    <t>Will result in customer complaint and return of product</t>
  </si>
  <si>
    <t>May cause production disruption or failure of sales specification.</t>
  </si>
  <si>
    <t>Will be caught at subsequent processing.</t>
  </si>
  <si>
    <t>Will be caught during processing</t>
  </si>
  <si>
    <t>Likely to be caught by customer at incoming inspection</t>
  </si>
  <si>
    <t xml:space="preserve">Only a slight inconvenience with product or processing noticed </t>
  </si>
  <si>
    <t>Likely to cause only a slight customer annoyance</t>
  </si>
  <si>
    <t xml:space="preserve">Not likely to cause any effect or to be noticed by customer </t>
  </si>
  <si>
    <t>No Background</t>
  </si>
  <si>
    <t>High frequency</t>
  </si>
  <si>
    <t>Assumption</t>
  </si>
  <si>
    <t>Moderate Frequency</t>
  </si>
  <si>
    <t>Similar Experience</t>
  </si>
  <si>
    <t>Actual Experience</t>
  </si>
  <si>
    <t>Low Frequency</t>
  </si>
  <si>
    <t>Absolute certainty of Non-detection.</t>
  </si>
  <si>
    <t>Very low likelihood of detection.</t>
  </si>
  <si>
    <t>Controls may detect at end of customer production.</t>
  </si>
  <si>
    <t xml:space="preserve">Controls may detect existence during customer production.  </t>
  </si>
  <si>
    <t>Controls likely to detect defect in lot inspection but higher variability.</t>
  </si>
  <si>
    <t>Controls likely to detect defect in lot inspection.</t>
  </si>
  <si>
    <t>Controls have a good chance of detecting defect at end of current process step.</t>
  </si>
  <si>
    <t>Controls have a good chance of detecting defect before end of current process step.</t>
  </si>
  <si>
    <t>Controls almost certainly defect before next process.</t>
  </si>
  <si>
    <t>Controls detect defect before next process.</t>
  </si>
  <si>
    <t>Affects safe vehicle operation and/or noncompliance to a government regulation without warning.</t>
  </si>
  <si>
    <t>Affects safe vehicle operation and/or noncompliance to a government regulation with warning.</t>
  </si>
  <si>
    <t xml:space="preserve">Loss of primary function (vehicle inoperable but does not affect safe vehicle operation.  </t>
  </si>
  <si>
    <t xml:space="preserve">Degradation of Primary function (vehicle operable but at a reduced level of performance) </t>
  </si>
  <si>
    <t xml:space="preserve">Loss of secondary function (vehicle operatable but comport/ convenience functions inoperable. </t>
  </si>
  <si>
    <t xml:space="preserve">Degradation of secondary function (vehicle operatable but comfort/ convenience functions inoperable.  </t>
  </si>
  <si>
    <t>Appearance of audible noise, vehicle operable, item does not conform, and noticed by most customers (75%).</t>
  </si>
  <si>
    <t>Appearance of audible noise, vehicle operable, item does not conform, and noticed by many customers (50%).</t>
  </si>
  <si>
    <t>Appearance of audible noise, vehicle operable, item does not conform, and noticed by discriminating customers (25%).</t>
  </si>
  <si>
    <t>No discernible affect.</t>
  </si>
  <si>
    <t>New technology/new design with no history.</t>
  </si>
  <si>
    <t>Failure is inevitable with new design, new application, or change in duty cycle/operating conditions.</t>
  </si>
  <si>
    <t>Failure is likely with new design, new application, or change in duty cycle/operating conditions.</t>
  </si>
  <si>
    <t>Failure is uncertain with new design, new application, or change in duty cycle/operating conditions.</t>
  </si>
  <si>
    <t xml:space="preserve">Frequent failures associated with similar designs or in design simulation and testing.  </t>
  </si>
  <si>
    <t xml:space="preserve">Occasional failures associated with similar designs or in design simulation and testing.  </t>
  </si>
  <si>
    <t xml:space="preserve">Isolated failures associated with similar designs or in design simulation and testing.  </t>
  </si>
  <si>
    <t>Only isolated failures associated with almost identical design or in design simulation or testing.</t>
  </si>
  <si>
    <t>No observed failures associated with almost identical design or in design simulation or testing.</t>
  </si>
  <si>
    <t>Failure is eliminated through preventative control.</t>
  </si>
  <si>
    <t xml:space="preserve">No current design control; Cannot detect or is not analyzed.  </t>
  </si>
  <si>
    <t>Not Applicable.  Failure is fully prevented through design solutions  (e.g. proven design standard, best practices, or common material, etc.)</t>
  </si>
  <si>
    <t>Customer ID#</t>
  </si>
  <si>
    <t xml:space="preserve">  Comment(s):</t>
  </si>
  <si>
    <t>Insert applicable design records and ballooned print here</t>
  </si>
  <si>
    <t>MM/DD/YYYY</t>
  </si>
  <si>
    <t>Manufacturing Location</t>
  </si>
  <si>
    <r>
      <t>H</t>
    </r>
    <r>
      <rPr>
        <vertAlign val="subscript"/>
        <sz val="10"/>
        <rFont val="Arial"/>
        <family val="2"/>
      </rPr>
      <t>0</t>
    </r>
    <r>
      <rPr>
        <sz val="10"/>
        <rFont val="Arial"/>
        <family val="2"/>
      </rPr>
      <t>:</t>
    </r>
  </si>
  <si>
    <r>
      <t>H</t>
    </r>
    <r>
      <rPr>
        <vertAlign val="subscript"/>
        <sz val="10"/>
        <rFont val="Arial"/>
        <family val="2"/>
      </rPr>
      <t>A</t>
    </r>
    <r>
      <rPr>
        <sz val="10"/>
        <rFont val="Arial"/>
        <family val="2"/>
      </rPr>
      <t>:</t>
    </r>
  </si>
  <si>
    <r>
      <t>r</t>
    </r>
    <r>
      <rPr>
        <vertAlign val="subscript"/>
        <sz val="10"/>
        <rFont val="Arial"/>
        <family val="2"/>
      </rPr>
      <t>c</t>
    </r>
    <r>
      <rPr>
        <sz val="10"/>
        <rFont val="Arial"/>
        <family val="2"/>
      </rPr>
      <t>=</t>
    </r>
  </si>
  <si>
    <r>
      <t>* UCL</t>
    </r>
    <r>
      <rPr>
        <vertAlign val="subscript"/>
        <sz val="10"/>
        <rFont val="Arial"/>
        <family val="2"/>
      </rPr>
      <t>R</t>
    </r>
    <r>
      <rPr>
        <sz val="10"/>
        <rFont val="Arial"/>
        <family val="2"/>
      </rPr>
      <t xml:space="preserve"> =</t>
    </r>
    <r>
      <rPr>
        <sz val="12"/>
        <rFont val="Arial"/>
        <family val="2"/>
      </rPr>
      <t xml:space="preserve"> </t>
    </r>
    <r>
      <rPr>
        <sz val="12"/>
        <rFont val="Statistical Symbols"/>
      </rPr>
      <t>R</t>
    </r>
    <r>
      <rPr>
        <sz val="10"/>
        <rFont val="Arial"/>
      </rPr>
      <t xml:space="preserve"> x D</t>
    </r>
    <r>
      <rPr>
        <vertAlign val="subscript"/>
        <sz val="10"/>
        <rFont val="Arial"/>
        <family val="2"/>
      </rPr>
      <t>4</t>
    </r>
    <r>
      <rPr>
        <sz val="10"/>
        <rFont val="Arial"/>
      </rPr>
      <t xml:space="preserve"> =</t>
    </r>
  </si>
  <si>
    <r>
      <t>Standard Deviation (</t>
    </r>
    <r>
      <rPr>
        <b/>
        <sz val="10"/>
        <rFont val="Symbol"/>
        <family val="1"/>
        <charset val="2"/>
      </rPr>
      <t>s</t>
    </r>
    <r>
      <rPr>
        <b/>
        <sz val="10"/>
        <rFont val="Arial"/>
        <family val="2"/>
      </rPr>
      <t>)</t>
    </r>
  </si>
  <si>
    <t>ANOVA METHOD</t>
  </si>
  <si>
    <t>VARIABLES CONTROL CHART (XbarR)</t>
  </si>
  <si>
    <t>SUPPLIER NAME:</t>
  </si>
  <si>
    <t>SUPPLIER CODE:</t>
  </si>
  <si>
    <t>ENGINEERING REVISION LEVEL:</t>
  </si>
  <si>
    <t>ENGINEERING REVISION LEVEL</t>
  </si>
  <si>
    <t>Insert applicable lab documentation in this tab.</t>
  </si>
  <si>
    <t>APPEARANCE APPROVAL REPORT</t>
  </si>
  <si>
    <t>APPEARANCE EVALUATION</t>
  </si>
  <si>
    <t>ORGANIZATION SOURCING AND TEXTURE INFORMATION</t>
  </si>
  <si>
    <t>PRE-TEXTURE EVALUATION</t>
  </si>
  <si>
    <t>AUTHORIZED CUSTOMER REPRESENTATIVE SIGNATURE AND DATE</t>
  </si>
  <si>
    <t>COLOR EVALUATION</t>
  </si>
  <si>
    <t>Color Suffix</t>
  </si>
  <si>
    <t>Tristimulus Data</t>
  </si>
  <si>
    <t>Master Number</t>
  </si>
  <si>
    <t>Master Date</t>
  </si>
  <si>
    <t>Material Type</t>
  </si>
  <si>
    <t>Material Source</t>
  </si>
  <si>
    <t>HUE</t>
  </si>
  <si>
    <t>VALVE</t>
  </si>
  <si>
    <t>CHROMA</t>
  </si>
  <si>
    <t>GLOSS</t>
  </si>
  <si>
    <t>METALLIC BRILLIANCE</t>
  </si>
  <si>
    <t>COLOR SHIPPING SUFFIX</t>
  </si>
  <si>
    <t>PART DISPOSITION</t>
  </si>
  <si>
    <t>DL*</t>
  </si>
  <si>
    <t>Da*</t>
  </si>
  <si>
    <t>Db*</t>
  </si>
  <si>
    <t>DE*</t>
  </si>
  <si>
    <t>CMC</t>
  </si>
  <si>
    <t>RED</t>
  </si>
  <si>
    <t>YEL</t>
  </si>
  <si>
    <t>GRN</t>
  </si>
  <si>
    <t>BLU</t>
  </si>
  <si>
    <t>LIGHT</t>
  </si>
  <si>
    <t>DARK</t>
  </si>
  <si>
    <t>GRAY</t>
  </si>
  <si>
    <t>CLEAN</t>
  </si>
  <si>
    <t>HIGH</t>
  </si>
  <si>
    <t>LOW</t>
  </si>
  <si>
    <t>Comments:</t>
  </si>
  <si>
    <t xml:space="preserve">Please complete, print in color and attach this page on the outside of each package in plain view of a fork lift/material handler/operator. Put the Packing slip pocket near the label. </t>
  </si>
  <si>
    <t>In the event parts are “Loose” shipped, a label should be placed on each part. This would apply to parts laying on pallets also. Label on a Painted Part must be wire tied or attached in a way painted surface is protected from label adhesion.</t>
  </si>
  <si>
    <t xml:space="preserve">
Send identified sample(s). Each sample used for PPAP must be clearly identified with their identification number corresponding with data.</t>
  </si>
  <si>
    <t>Attach drawings and verification/calibration information related to part specific or component inspection aid(s) to this sheet.</t>
  </si>
  <si>
    <t>Part Number:</t>
  </si>
  <si>
    <t>Part Name:</t>
  </si>
  <si>
    <t>Requirements Checklist</t>
  </si>
  <si>
    <t>MANUFACTURING SITE:</t>
  </si>
  <si>
    <t>EXPECTED COMPLETION DATE</t>
  </si>
  <si>
    <t>ISSUES TO BE RESOLVED</t>
  </si>
  <si>
    <t>STATUS: (NR - Not Required, A - Approved, I - Interim)</t>
  </si>
  <si>
    <t>SUPPLIER (AUTHORIZED SIGNATURE)</t>
  </si>
  <si>
    <t>CLASSIFICATION
ENG, DESIGN, PROCESS 
or OTHER:</t>
  </si>
  <si>
    <t>ACTIONS TO BE ACCOMPLISHED DURING 
INTERIM PERIOD</t>
  </si>
  <si>
    <t>EFFECTIVE DATE</t>
  </si>
  <si>
    <t>What actions are taking place to ensure that future submissions will conform to bulk material PPAP requirements by the sample promise date?</t>
  </si>
  <si>
    <t>PRINT NAME:</t>
  </si>
  <si>
    <t>CUSTOMER APPROVAL:</t>
  </si>
  <si>
    <t>ENGINEERING:</t>
  </si>
  <si>
    <t>QUALITY ENG:</t>
  </si>
  <si>
    <t>Date:</t>
  </si>
  <si>
    <t>Inspection aids</t>
  </si>
  <si>
    <t>Truck Industry</t>
  </si>
  <si>
    <t>Customer Requirement</t>
  </si>
  <si>
    <t>Description / Additional Explanation</t>
  </si>
  <si>
    <t>10-1</t>
  </si>
  <si>
    <t>10-2</t>
  </si>
  <si>
    <t>Measurement System Analysis</t>
  </si>
  <si>
    <t>Sample Production Parts</t>
  </si>
  <si>
    <t>A copy of the current engineering drawings and material specifications, with bubbled requirements</t>
  </si>
  <si>
    <t>The supplier shall develop and implement a production control plan compliant to the AIAG "APQP and Control Plan" reference manual.</t>
  </si>
  <si>
    <t>The supplier shall develop a process FMEA compliant to the AIAG "Potential Failure Mode and Effects Analysis" reference manual.</t>
  </si>
  <si>
    <t>When the supplier is responsible for product/component design, they shall develop a design FMEA compliant to the AIAG "Potential Failure Mode and Effects Analysis" reference manual.</t>
  </si>
  <si>
    <t>The supplier shall have applicable Measurement System analysis studies, e.g., gage R&amp;R, bias, linearity, stability, for all new or modified gages, measurement, and test equipment. See the AIAG "Measurement Systems Analysis" reference manual.</t>
  </si>
  <si>
    <t>The supplier shall perform tests for all part(s) or product material(s) when performance or functional requirements are specified by the design record or Control Plan. Performance test results shall indicate and include : 
1) The design record change level of the parts tested;
2) Any authorized engineering change documents that not yet been incorporated in the design record;
3) The number, date, and change level of the specification to which the part was tested;
4) the date on which the testing took place;
5) the quantity tested; 
6) the actual results;</t>
  </si>
  <si>
    <t>The supplier shall provide evidence that dimensional verifications required by the design record and the Control Plan have been completed and result indicate compliance with specified requirements. The supplier shall have dimensional results for each unique manufacturing process, e.g., cells or production lines and all cavities, molds, patterns or dies. The supplier shall record , with the actual results : all dimensions (except reference dimensions), characteristics, and specifications as noted on the design record and Control Plan. The supplier shall identify the parts measured.</t>
  </si>
  <si>
    <t>Upon completion of all PPAP requirements, the supplier shall complete the Part submission warrant (PSW).
If production parts will be produced from more than one cavity, mold, tool die, pattern, or Production process e.g., line or cell, the supplier shall complete a dimensional evaluation on one part from each . These specifics cavities, molds, line, etc..., shall then be identified in the "Mold/Cavity/Production Process" line on a PSW, or in a PSW attachment. A responsible official of the supplier shall approve the PSW and provide contact information.</t>
  </si>
  <si>
    <t>GAGE R&amp;R STUDY</t>
  </si>
  <si>
    <t xml:space="preserve">    GRAPHICAL ANALYSIS</t>
  </si>
  <si>
    <t xml:space="preserve">    Dimensional Test Results</t>
  </si>
  <si>
    <t>Part Number/Latest Change Level</t>
  </si>
  <si>
    <r>
      <t xml:space="preserve">Design analysis/detection controls have a weak detection capability; Virtual Analysis (e.g. CAE, FEA etc.) is </t>
    </r>
    <r>
      <rPr>
        <b/>
        <sz val="10"/>
        <color indexed="8"/>
        <rFont val="Arial"/>
        <family val="2"/>
      </rPr>
      <t>not correlated</t>
    </r>
    <r>
      <rPr>
        <sz val="10"/>
        <color indexed="8"/>
        <rFont val="Arial"/>
        <family val="2"/>
      </rPr>
      <t xml:space="preserve"> to expected or actual operating conditions.  Not likely to detect at any stage</t>
    </r>
  </si>
  <si>
    <r>
      <t xml:space="preserve">Product verification after design freeze and prior to launch with </t>
    </r>
    <r>
      <rPr>
        <b/>
        <sz val="10"/>
        <color indexed="8"/>
        <rFont val="Arial"/>
        <family val="2"/>
      </rPr>
      <t xml:space="preserve">pass/fail </t>
    </r>
    <r>
      <rPr>
        <sz val="10"/>
        <color indexed="8"/>
        <rFont val="Arial"/>
        <family val="2"/>
      </rPr>
      <t>testing (Subsystem or system testing with acceptance criteria such as ride and handling , shipping evaluation etc.)</t>
    </r>
  </si>
  <si>
    <r>
      <t xml:space="preserve">Product verification after design freeze and prior to launch with </t>
    </r>
    <r>
      <rPr>
        <b/>
        <sz val="10"/>
        <color indexed="8"/>
        <rFont val="Arial"/>
        <family val="2"/>
      </rPr>
      <t>test to failure</t>
    </r>
    <r>
      <rPr>
        <sz val="10"/>
        <color indexed="8"/>
        <rFont val="Arial"/>
        <family val="2"/>
      </rPr>
      <t xml:space="preserve"> testing (Subsystem or system testing until failure occurs, testing of interactions etc.)</t>
    </r>
  </si>
  <si>
    <r>
      <t xml:space="preserve">Product verification after design freeze and prior to launch with </t>
    </r>
    <r>
      <rPr>
        <b/>
        <sz val="10"/>
        <color indexed="8"/>
        <rFont val="Arial"/>
        <family val="2"/>
      </rPr>
      <t>degradation</t>
    </r>
    <r>
      <rPr>
        <sz val="10"/>
        <color indexed="8"/>
        <rFont val="Arial"/>
        <family val="2"/>
      </rPr>
      <t xml:space="preserve"> testing (Subsystem or system testing after durability test e.g. functional test.  </t>
    </r>
  </si>
  <si>
    <r>
      <t xml:space="preserve">Product validation (reliability testing, development or validation tests) prior to design freeze using </t>
    </r>
    <r>
      <rPr>
        <b/>
        <sz val="10"/>
        <color indexed="8"/>
        <rFont val="Arial"/>
        <family val="2"/>
      </rPr>
      <t>pass/fail</t>
    </r>
    <r>
      <rPr>
        <sz val="10"/>
        <color indexed="8"/>
        <rFont val="Arial"/>
        <family val="2"/>
      </rPr>
      <t xml:space="preserve"> testing (e.g.. acceptance criteria for performance functional checks etc.)</t>
    </r>
  </si>
  <si>
    <r>
      <t>Product validation (reliability testing, development or validation tests) prior to design freeze using</t>
    </r>
    <r>
      <rPr>
        <b/>
        <sz val="10"/>
        <color indexed="8"/>
        <rFont val="Arial"/>
        <family val="2"/>
      </rPr>
      <t xml:space="preserve"> test to failure</t>
    </r>
    <r>
      <rPr>
        <sz val="10"/>
        <color indexed="8"/>
        <rFont val="Arial"/>
        <family val="2"/>
      </rPr>
      <t xml:space="preserve"> (e.g. until leaks, yields or cracks etc.)</t>
    </r>
  </si>
  <si>
    <r>
      <t xml:space="preserve">Product validation (reliability testing, development or validation tests) prior to design freeze using </t>
    </r>
    <r>
      <rPr>
        <b/>
        <sz val="10"/>
        <color indexed="8"/>
        <rFont val="Arial"/>
        <family val="2"/>
      </rPr>
      <t>degradation</t>
    </r>
    <r>
      <rPr>
        <sz val="10"/>
        <color indexed="8"/>
        <rFont val="Arial"/>
        <family val="2"/>
      </rPr>
      <t xml:space="preserve"> (e.g. data trends, before/after values etc.)</t>
    </r>
  </si>
  <si>
    <r>
      <t xml:space="preserve">Virtual analysis correlated.  Design analysis/ detection controls have a strong detection capability and is </t>
    </r>
    <r>
      <rPr>
        <b/>
        <sz val="10"/>
        <color indexed="8"/>
        <rFont val="Arial"/>
        <family val="2"/>
      </rPr>
      <t>highly correlated</t>
    </r>
    <r>
      <rPr>
        <sz val="10"/>
        <color indexed="8"/>
        <rFont val="Arial"/>
        <family val="2"/>
      </rPr>
      <t xml:space="preserve"> with actual or expected operating conditions.    </t>
    </r>
  </si>
  <si>
    <t>Level 1 - Warrant only (and for designated appearance items, an Appearance Approval Report) submitted.</t>
  </si>
  <si>
    <t>Level 2 - Warrant with product samples and limited supporting data submitted.</t>
  </si>
  <si>
    <t>Level 3 - Warrant with product samples and complete supporting data submitted.</t>
  </si>
  <si>
    <t>Level 4 - Warrant and other requirements as defined.</t>
  </si>
  <si>
    <t>I affirm that the samples represented by this warrant are representative of our parts and have been made to the applicable</t>
  </si>
  <si>
    <t>FOR INTERNAL USE ONLY</t>
  </si>
  <si>
    <t>Engineering Revision Level</t>
  </si>
  <si>
    <t>Engineering Revision Date</t>
  </si>
  <si>
    <t xml:space="preserve">Purchase Order Number </t>
  </si>
  <si>
    <t>Customer-specific requirements</t>
  </si>
  <si>
    <t>Hexagon Agility / Hexagon Purus specific requirements, as defined</t>
  </si>
  <si>
    <t>MSA template or AIAG equivalent</t>
  </si>
  <si>
    <t>Control Plan template or AIAG equivalent</t>
  </si>
  <si>
    <t>PFMEA template or AIAG equivalent</t>
  </si>
  <si>
    <t>DFMEA template or AIAG equivalent</t>
  </si>
  <si>
    <t>Dimensional Results template or AIAG equivalent</t>
  </si>
  <si>
    <t>Performance Test Results template or AIAG equivalent</t>
  </si>
  <si>
    <t>Material Test Results template or AIAG equivalent</t>
  </si>
  <si>
    <t>Process Capability Study using any statistical package or Initial Process Studies form</t>
  </si>
  <si>
    <t>Appearance Approval Report form or AIAG format</t>
  </si>
  <si>
    <t>The supplier shall have the design record for the saleable product/part, including design records for components or details of the saleable product / part. Where the design record is in electronic format, e.g. CAD/CAM math data, the supplier shall produce a hard copy (e.g., pictorial, geometric dimensioning &amp; tolerancing (GD&amp;T) sheets, drawing) to identify measurements taken.</t>
  </si>
  <si>
    <t>The supplier shall have a process flow diagram that clearly describes the production process steps and sequence, and meets Hexagon Agility specified requirements and expectations. For bulk materials, an equivalent to a process Flow Diagram is a Process Flow Description.</t>
  </si>
  <si>
    <t>Inspection and testing for PPAP shall be performed by qualified laboratory as defined by Hexagon Agility requirements (e.g. an accredited laboratory). the qualified laboratory (internal or external to the supplier) shall have a laboratory scope and documentation showing that the laboratory is qualified for the type of measurements or tests conducted.
When an external/Commercial laboratory is used, the supplier shall submit the test results on the laboratory letterhead or the normal laboratory report format. The name of the laboratory that performed the tests, the date(s) of the tests, and the standards used to run the tests shall be identified.</t>
  </si>
  <si>
    <t xml:space="preserve">A separate Appearance Approval Report (AAR) shall be completed for each part or series of part if the product/part has appearance requirements on the design record.
Upon satisfactory completion of all required criteria, the supplier shall record the required information on the AAR. The completed AAR and representative production product/part shall be submitted to the location specified by Agility to receive disposition. AARs (complete with part disposition and authorized Hexagon Agility representative signature) shall then accompany the PSW at the time of final submission based upon the submission level requested. </t>
  </si>
  <si>
    <t>Per Hexagon Agility requirements</t>
  </si>
  <si>
    <t>The supplier shall provide sample product as specified by Hexagon Agility.</t>
  </si>
  <si>
    <t>If requested by Hexagon Agility, the supplier shall submit with the PPAP submission any part-specific assembly or component checking aid.</t>
  </si>
  <si>
    <t>As directed by Hexagon Agility.</t>
  </si>
  <si>
    <t>The supplier shall have records of compliance to all applicable Hexagon Agility specific requirements. For bulk materials, applicable customer-specific requirements shall be documented on the Bulk Material Requirement Checklist.</t>
  </si>
  <si>
    <t>Material test results shall indicate and include :
1) The design record change level of the parts tested;
2) Any Hexagon Agility authorized engineering change documents that not yet been incorporated in the supplier's design record;
3) The number, date, and change level of the specification to which the part was tested;
4) the date on which the testing took place;
5) the quantity tested; 
6) the actual results;
7) The material supplier's name and Hexagon Agility assigned supplier/vendor code (if provided).</t>
  </si>
  <si>
    <t>The level of initial process capability or performance shall be determined to be acceptable prior to submission for all Special Characteristics designated by Hexagon Agility and the supplier. The supplier shall obtain Hexagon Agility concurrence on the index for estimating initial process capability prior to submission.
- Where no special characteristics have been identified, Hexagon Agility reserves the right to require demonstration of initial process capability on other characteristics.
- Process capability requirements are defined in the Agility Supplier Quality Manual.</t>
  </si>
  <si>
    <t>The supplier shall retain a master sample for the same period as the production part approval records, or a) until a new master sample is produced for the same Hexagon Agility part number for approval, or b) where a master sample is required by the design record, Control Plan or inspection criteria, as a reference or standard. The master sample shall be identified as such, and shall show the Hexagon Agility approval date on the sample. The supplier shall retain a master sample for each position of a multiple cavity die, mold tool or pattern, or production process unless otherwise specified by the Hexagon Agility purchase order. 
When part size , sheet volume of parts, etc.  makes storage of a master sample difficult, the sample retention requirements may be modified or waived in writing by authorized Hexagon Agility representative.</t>
  </si>
  <si>
    <t>Hexagon Agility Location</t>
  </si>
  <si>
    <t>Insert applicable Hexagon Agility design approval record.</t>
  </si>
  <si>
    <t>No.</t>
  </si>
  <si>
    <t>Process Flow template or AIAG equivalent</t>
  </si>
  <si>
    <t>Hexagon Agility Engineering Approval</t>
  </si>
  <si>
    <t>Record of Hexagon Agility Engineering approval</t>
  </si>
  <si>
    <t xml:space="preserve">Record of Engineering Approval </t>
  </si>
  <si>
    <t>Situation</t>
  </si>
  <si>
    <t>PPAP Item</t>
  </si>
  <si>
    <t>Supplier Number</t>
  </si>
  <si>
    <t>SUPPLIER INFORMATION</t>
  </si>
  <si>
    <t>Supplier Name and Number</t>
  </si>
  <si>
    <t>REQUIRED SUBMISSION LEVEL (Check one)</t>
  </si>
  <si>
    <t>Hexagon Agility Buyer</t>
  </si>
  <si>
    <t>For additional information, refer to AIAG PPAP Manual 4th edition.</t>
  </si>
  <si>
    <t>Request Date</t>
  </si>
  <si>
    <t>Submission Due Date</t>
  </si>
  <si>
    <t>City, State, Postal Code and Country</t>
  </si>
  <si>
    <t>Hexagon Agility Quality Contact</t>
  </si>
  <si>
    <t>Hexagon Agility approval of the supplier’s design record (item 1).  This applies to supplier-designed products only.</t>
  </si>
  <si>
    <t>The supplier shall provide engineering change authorization documents related to temporary changes or in-process changes not yet fully recorded in the design record (item 1) - but incorporated in the product, part or tooling.
The Supplier shall describe any situation where an engineering change has been authorized but not yet fully incorporated into the design record in item 1.  As applicable, list the approved deviation (FT.0006), authorized ECN, approved PPCN (FT.1490), authorized UAI/rework material disposition, or approved pre-launch/trial production build information.  Attach copies of the applicable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</si>
</sst>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00"/>
    <numFmt numFmtId="166" formatCode="0.0000"/>
    <numFmt numFmtId="167" formatCode="0.0"/>
    <numFmt numFmtId="168" formatCode="0.0%"/>
    <numFmt numFmtId="169" formatCode="0.00000"/>
  </numFmts>
  <fonts count="81">
    <font>
      <sz val="10"/>
      <name val="Arial"/>
    </font>
    <font>
      <b/>
      <sz val="10"/>
      <name val="Arial"/>
    </font>
    <font>
      <i/>
      <sz val="10"/>
      <name val="Arial"/>
    </font>
    <font>
      <sz val="10"/>
      <name val="Arial"/>
      <family val="2"/>
    </font>
    <font>
      <sz val="8"/>
      <name val="Arial"/>
      <family val="2"/>
    </font>
    <font>
      <b/>
      <sz val="8"/>
      <name val="Arial"/>
      <family val="2"/>
    </font>
    <font>
      <sz val="9"/>
      <name val="Arial"/>
      <family val="2"/>
    </font>
    <font>
      <sz val="12"/>
      <name val="Arial"/>
      <family val="2"/>
    </font>
    <font>
      <b/>
      <sz val="14"/>
      <name val="Arial"/>
      <family val="2"/>
    </font>
    <font>
      <sz val="6"/>
      <name val="Small Fonts"/>
      <family val="2"/>
    </font>
    <font>
      <b/>
      <sz val="12"/>
      <name val="Arial"/>
      <family val="2"/>
    </font>
    <font>
      <sz val="10"/>
      <name val="Arial"/>
      <family val="2"/>
    </font>
    <font>
      <b/>
      <sz val="14"/>
      <name val="Arial"/>
      <family val="2"/>
    </font>
    <font>
      <b/>
      <sz val="12"/>
      <name val="Arial"/>
      <family val="2"/>
    </font>
    <font>
      <vertAlign val="subscript"/>
      <sz val="10"/>
      <name val="Arial"/>
      <family val="2"/>
    </font>
    <font>
      <vertAlign val="subscript"/>
      <sz val="8"/>
      <name val="Arial"/>
      <family val="2"/>
    </font>
    <font>
      <vertAlign val="superscript"/>
      <sz val="10"/>
      <name val="Arial"/>
      <family val="2"/>
    </font>
    <font>
      <b/>
      <sz val="6"/>
      <name val="Small Fonts"/>
      <family val="2"/>
    </font>
    <font>
      <b/>
      <vertAlign val="subscript"/>
      <sz val="10"/>
      <name val="Arial"/>
      <family val="2"/>
    </font>
    <font>
      <sz val="10"/>
      <color indexed="12"/>
      <name val="Arial"/>
      <family val="2"/>
    </font>
    <font>
      <sz val="10"/>
      <color indexed="12"/>
      <name val="Arial"/>
      <family val="2"/>
    </font>
    <font>
      <sz val="10"/>
      <color indexed="10"/>
      <name val="Arial"/>
      <family val="2"/>
    </font>
    <font>
      <i/>
      <sz val="10"/>
      <name val="Arial"/>
      <family val="2"/>
    </font>
    <font>
      <sz val="14"/>
      <name val="Arial"/>
      <family val="2"/>
    </font>
    <font>
      <sz val="10"/>
      <color indexed="8"/>
      <name val="Arial"/>
      <family val="2"/>
    </font>
    <font>
      <sz val="8"/>
      <color indexed="12"/>
      <name val="Arial"/>
      <family val="2"/>
    </font>
    <font>
      <sz val="8"/>
      <color indexed="8"/>
      <name val="Arial"/>
      <family val="2"/>
    </font>
    <font>
      <sz val="8"/>
      <name val="Arial"/>
      <family val="2"/>
    </font>
    <font>
      <b/>
      <u/>
      <sz val="10"/>
      <name val="Arial"/>
      <family val="2"/>
    </font>
    <font>
      <b/>
      <sz val="10"/>
      <name val="Arial"/>
      <family val="2"/>
    </font>
    <font>
      <sz val="10"/>
      <name val="Statistical Symbols"/>
    </font>
    <font>
      <sz val="12"/>
      <name val="Statistical Symbols"/>
    </font>
    <font>
      <sz val="8"/>
      <color indexed="81"/>
      <name val="Tahoma"/>
      <family val="2"/>
    </font>
    <font>
      <b/>
      <sz val="8"/>
      <color indexed="81"/>
      <name val="Tahoma"/>
      <family val="2"/>
    </font>
    <font>
      <b/>
      <sz val="10"/>
      <name val="Symbol"/>
      <family val="1"/>
      <charset val="2"/>
    </font>
    <font>
      <sz val="8"/>
      <name val="Statistical Symbols"/>
    </font>
    <font>
      <sz val="10"/>
      <name val="Symbol"/>
      <family val="1"/>
      <charset val="2"/>
    </font>
    <font>
      <sz val="16"/>
      <name val="Arial"/>
      <family val="2"/>
    </font>
    <font>
      <i/>
      <sz val="14"/>
      <name val="Arial"/>
      <family val="2"/>
    </font>
    <font>
      <b/>
      <i/>
      <sz val="10"/>
      <name val="Arial"/>
      <family val="2"/>
    </font>
    <font>
      <sz val="8"/>
      <name val="Times New Roman"/>
      <family val="1"/>
    </font>
    <font>
      <u/>
      <sz val="8"/>
      <name val="Arial"/>
      <family val="2"/>
    </font>
    <font>
      <b/>
      <vertAlign val="superscript"/>
      <sz val="10"/>
      <name val="Arial"/>
      <family val="2"/>
    </font>
    <font>
      <b/>
      <vertAlign val="superscript"/>
      <sz val="8"/>
      <name val="Arial"/>
      <family val="2"/>
    </font>
    <font>
      <sz val="10"/>
      <color indexed="56"/>
      <name val="Arial"/>
      <family val="2"/>
    </font>
    <font>
      <sz val="14"/>
      <name val="Arial"/>
      <family val="2"/>
    </font>
    <font>
      <sz val="12"/>
      <name val="Times New Roman"/>
      <family val="1"/>
    </font>
    <font>
      <b/>
      <sz val="36"/>
      <name val="Times New Roman"/>
      <family val="1"/>
    </font>
    <font>
      <b/>
      <sz val="20"/>
      <name val="Times New Roman"/>
      <family val="1"/>
    </font>
    <font>
      <sz val="16"/>
      <name val="Times New Roman"/>
      <family val="1"/>
    </font>
    <font>
      <sz val="22"/>
      <name val="Times New Roman"/>
      <family val="1"/>
    </font>
    <font>
      <sz val="7"/>
      <name val="Arial"/>
      <family val="2"/>
    </font>
    <font>
      <u/>
      <sz val="18"/>
      <color indexed="12"/>
      <name val="Arial"/>
      <family val="2"/>
    </font>
    <font>
      <b/>
      <sz val="20"/>
      <name val="Verdana"/>
      <family val="2"/>
    </font>
    <font>
      <b/>
      <sz val="14"/>
      <name val="Verdana"/>
      <family val="2"/>
    </font>
    <font>
      <b/>
      <sz val="10"/>
      <name val="Verdana"/>
      <family val="2"/>
    </font>
    <font>
      <sz val="12"/>
      <name val="Verdana"/>
      <family val="2"/>
    </font>
    <font>
      <sz val="10"/>
      <name val="Verdana"/>
      <family val="2"/>
    </font>
    <font>
      <sz val="12"/>
      <color indexed="81"/>
      <name val="Tahoma"/>
      <family val="2"/>
    </font>
    <font>
      <sz val="14"/>
      <color indexed="81"/>
      <name val="Tahoma"/>
      <family val="2"/>
    </font>
    <font>
      <i/>
      <sz val="12"/>
      <name val="Verdana"/>
      <family val="2"/>
    </font>
    <font>
      <i/>
      <sz val="10"/>
      <name val="Verdana"/>
      <family val="2"/>
    </font>
    <font>
      <sz val="11"/>
      <name val="Calibri"/>
      <family val="2"/>
    </font>
    <font>
      <u/>
      <sz val="10"/>
      <name val="Arial"/>
      <family val="2"/>
    </font>
    <font>
      <b/>
      <sz val="20"/>
      <name val="Arial Narrow"/>
      <family val="2"/>
    </font>
    <font>
      <sz val="20"/>
      <name val="Arial Narrow"/>
      <family val="2"/>
    </font>
    <font>
      <sz val="10"/>
      <name val="Arial Narrow"/>
      <family val="2"/>
    </font>
    <font>
      <sz val="15"/>
      <name val="Arial Narrow"/>
      <family val="2"/>
    </font>
    <font>
      <sz val="11"/>
      <name val="Arial Narrow"/>
      <family val="2"/>
    </font>
    <font>
      <sz val="14"/>
      <name val="Arial Narrow"/>
      <family val="2"/>
    </font>
    <font>
      <sz val="4"/>
      <name val="Arial"/>
      <family val="2"/>
    </font>
    <font>
      <b/>
      <sz val="10"/>
      <color indexed="8"/>
      <name val="Arial"/>
      <family val="2"/>
    </font>
    <font>
      <u/>
      <sz val="10"/>
      <color rgb="FF0000FF"/>
      <name val="Arial"/>
      <family val="2"/>
    </font>
    <font>
      <b/>
      <i/>
      <sz val="10"/>
      <color theme="0" tint="-0.34998626667073579"/>
      <name val="Arial"/>
      <family val="2"/>
    </font>
    <font>
      <sz val="10"/>
      <color theme="0" tint="-0.34998626667073579"/>
      <name val="Arial"/>
      <family val="2"/>
    </font>
    <font>
      <sz val="10"/>
      <color rgb="FF0083A9"/>
      <name val="Arial"/>
      <family val="2"/>
    </font>
    <font>
      <sz val="24"/>
      <color theme="8" tint="-0.249977111117893"/>
      <name val="Arial"/>
      <family val="2"/>
    </font>
    <font>
      <b/>
      <sz val="14"/>
      <color rgb="FFFF0000"/>
      <name val="Arial"/>
      <family val="2"/>
    </font>
    <font>
      <sz val="10"/>
      <color theme="1"/>
      <name val="Arial"/>
      <family val="2"/>
    </font>
    <font>
      <b/>
      <sz val="10"/>
      <color theme="1"/>
      <name val="Arial"/>
      <family val="2"/>
    </font>
    <font>
      <sz val="8"/>
      <color rgb="FF000000"/>
      <name val="Tahoma"/>
      <family val="2"/>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9"/>
        <bgColor indexed="64"/>
      </patternFill>
    </fill>
    <fill>
      <patternFill patternType="solid">
        <fgColor indexed="2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s>
  <borders count="6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72" fillId="0" borderId="0" applyNumberFormat="0" applyFill="0" applyBorder="0" applyAlignment="0" applyProtection="0">
      <alignment vertical="top"/>
      <protection locked="0"/>
    </xf>
    <xf numFmtId="0" fontId="11" fillId="0" borderId="0"/>
    <xf numFmtId="0" fontId="3" fillId="0" borderId="0"/>
    <xf numFmtId="0" fontId="3" fillId="0" borderId="0"/>
  </cellStyleXfs>
  <cellXfs count="1114">
    <xf numFmtId="0" fontId="0" fillId="0" borderId="0" xfId="0"/>
    <xf numFmtId="0" fontId="0" fillId="0" borderId="1" xfId="0" applyBorder="1"/>
    <xf numFmtId="0" fontId="0" fillId="0" borderId="0" xfId="0" applyAlignment="1">
      <alignment horizontal="right"/>
    </xf>
    <xf numFmtId="0" fontId="0" fillId="0" borderId="1" xfId="0" applyBorder="1" applyAlignment="1">
      <alignment horizontal="center"/>
    </xf>
    <xf numFmtId="0" fontId="4"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 fillId="0" borderId="2" xfId="0" applyFont="1" applyBorder="1"/>
    <xf numFmtId="0" fontId="4" fillId="0" borderId="3" xfId="0" applyFont="1" applyBorder="1"/>
    <xf numFmtId="0" fontId="8" fillId="0" borderId="0" xfId="0" applyFont="1"/>
    <xf numFmtId="0" fontId="0" fillId="0" borderId="0" xfId="0" applyAlignment="1">
      <alignment horizontal="center"/>
    </xf>
    <xf numFmtId="0" fontId="0" fillId="0" borderId="9" xfId="0" applyBorder="1"/>
    <xf numFmtId="0" fontId="0" fillId="0" borderId="10" xfId="0" applyBorder="1"/>
    <xf numFmtId="0" fontId="4" fillId="0" borderId="11" xfId="0" applyFont="1"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1" fillId="0" borderId="0" xfId="0" applyFont="1"/>
    <xf numFmtId="0" fontId="0" fillId="0" borderId="19" xfId="0" applyBorder="1"/>
    <xf numFmtId="0" fontId="0" fillId="0" borderId="20" xfId="0"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4" fillId="0" borderId="4" xfId="0" applyFont="1" applyBorder="1"/>
    <xf numFmtId="0" fontId="11" fillId="0" borderId="7" xfId="0" applyFont="1" applyBorder="1"/>
    <xf numFmtId="0" fontId="11" fillId="0" borderId="0" xfId="0" applyFont="1"/>
    <xf numFmtId="0" fontId="0" fillId="0" borderId="9" xfId="0" applyBorder="1" applyAlignment="1">
      <alignment horizontal="center"/>
    </xf>
    <xf numFmtId="0" fontId="0" fillId="0" borderId="22" xfId="0" applyBorder="1" applyAlignment="1">
      <alignment horizontal="center"/>
    </xf>
    <xf numFmtId="0" fontId="0" fillId="0" borderId="0" xfId="0" quotePrefix="1"/>
    <xf numFmtId="0" fontId="1" fillId="0" borderId="9" xfId="0" applyFont="1" applyBorder="1" applyAlignment="1">
      <alignment horizontal="center"/>
    </xf>
    <xf numFmtId="0" fontId="1" fillId="0" borderId="2" xfId="0" applyFont="1" applyBorder="1"/>
    <xf numFmtId="0" fontId="1" fillId="0" borderId="7" xfId="0" applyFont="1" applyBorder="1"/>
    <xf numFmtId="0" fontId="0" fillId="0" borderId="17" xfId="0" applyBorder="1" applyAlignment="1">
      <alignment horizontal="center"/>
    </xf>
    <xf numFmtId="0" fontId="0" fillId="0" borderId="8" xfId="0" applyBorder="1" applyAlignment="1">
      <alignment horizontal="center"/>
    </xf>
    <xf numFmtId="0" fontId="0" fillId="0" borderId="23" xfId="0" applyBorder="1"/>
    <xf numFmtId="0" fontId="0" fillId="0" borderId="24" xfId="0" applyBorder="1" applyAlignment="1">
      <alignment horizontal="center"/>
    </xf>
    <xf numFmtId="164" fontId="0" fillId="0" borderId="25" xfId="0" applyNumberFormat="1" applyBorder="1" applyAlignment="1">
      <alignment horizontal="left"/>
    </xf>
    <xf numFmtId="164" fontId="0" fillId="0" borderId="26" xfId="0" quotePrefix="1" applyNumberFormat="1" applyBorder="1" applyAlignment="1">
      <alignment horizontal="left"/>
    </xf>
    <xf numFmtId="164" fontId="0" fillId="0" borderId="27" xfId="0" quotePrefix="1" applyNumberFormat="1" applyBorder="1" applyAlignment="1">
      <alignment horizontal="left"/>
    </xf>
    <xf numFmtId="0" fontId="0" fillId="0" borderId="18" xfId="0" applyBorder="1" applyAlignment="1">
      <alignment horizontal="center"/>
    </xf>
    <xf numFmtId="0" fontId="0" fillId="0" borderId="28" xfId="0" applyBorder="1" applyAlignment="1">
      <alignment horizontal="center"/>
    </xf>
    <xf numFmtId="164" fontId="0" fillId="0" borderId="23" xfId="0" quotePrefix="1" applyNumberFormat="1" applyBorder="1" applyAlignment="1">
      <alignment horizontal="left"/>
    </xf>
    <xf numFmtId="0" fontId="0" fillId="0" borderId="29" xfId="0" applyBorder="1"/>
    <xf numFmtId="0" fontId="0" fillId="0" borderId="6" xfId="0" applyBorder="1" applyAlignment="1">
      <alignment horizontal="center"/>
    </xf>
    <xf numFmtId="0" fontId="1" fillId="0" borderId="17" xfId="0" applyFont="1" applyBorder="1" applyAlignment="1">
      <alignment horizontal="center"/>
    </xf>
    <xf numFmtId="0" fontId="17" fillId="0" borderId="9" xfId="0" applyFont="1" applyBorder="1" applyAlignment="1">
      <alignment horizontal="center"/>
    </xf>
    <xf numFmtId="2" fontId="0" fillId="0" borderId="9" xfId="0" applyNumberFormat="1" applyBorder="1" applyAlignment="1">
      <alignment horizontal="center"/>
    </xf>
    <xf numFmtId="164" fontId="0" fillId="0" borderId="30" xfId="0" applyNumberFormat="1" applyBorder="1" applyAlignment="1">
      <alignment horizontal="left"/>
    </xf>
    <xf numFmtId="164" fontId="0" fillId="0" borderId="27" xfId="0" applyNumberFormat="1" applyBorder="1" applyAlignment="1">
      <alignment horizontal="left"/>
    </xf>
    <xf numFmtId="164" fontId="0" fillId="0" borderId="25" xfId="0" quotePrefix="1" applyNumberFormat="1" applyBorder="1" applyAlignment="1">
      <alignment horizontal="left"/>
    </xf>
    <xf numFmtId="2" fontId="0" fillId="0" borderId="0" xfId="0" applyNumberFormat="1"/>
    <xf numFmtId="2" fontId="0" fillId="0" borderId="31" xfId="0" applyNumberFormat="1" applyBorder="1" applyAlignment="1">
      <alignment horizontal="center"/>
    </xf>
    <xf numFmtId="2" fontId="0" fillId="0" borderId="10" xfId="0" applyNumberFormat="1" applyBorder="1"/>
    <xf numFmtId="165" fontId="0" fillId="0" borderId="32" xfId="0" applyNumberFormat="1" applyBorder="1" applyAlignment="1">
      <alignment horizontal="center"/>
    </xf>
    <xf numFmtId="165" fontId="0" fillId="0" borderId="15" xfId="0" applyNumberFormat="1" applyBorder="1" applyAlignment="1">
      <alignment horizontal="center"/>
    </xf>
    <xf numFmtId="165" fontId="0" fillId="0" borderId="33" xfId="0" applyNumberFormat="1" applyBorder="1" applyAlignment="1">
      <alignment horizontal="center"/>
    </xf>
    <xf numFmtId="165" fontId="0" fillId="0" borderId="14" xfId="0" applyNumberFormat="1" applyBorder="1" applyAlignment="1">
      <alignment horizontal="center"/>
    </xf>
    <xf numFmtId="165" fontId="0" fillId="0" borderId="34" xfId="0" applyNumberFormat="1" applyBorder="1" applyAlignment="1">
      <alignment horizontal="center"/>
    </xf>
    <xf numFmtId="166" fontId="0" fillId="0" borderId="0" xfId="0" applyNumberFormat="1"/>
    <xf numFmtId="2" fontId="0" fillId="0" borderId="1" xfId="0" applyNumberFormat="1" applyBorder="1" applyAlignment="1">
      <alignment horizontal="left"/>
    </xf>
    <xf numFmtId="2" fontId="0" fillId="0" borderId="0" xfId="0" applyNumberFormat="1" applyAlignment="1">
      <alignment horizontal="left"/>
    </xf>
    <xf numFmtId="0" fontId="0" fillId="0" borderId="0" xfId="0" applyAlignment="1">
      <alignment horizontal="centerContinuous"/>
    </xf>
    <xf numFmtId="2" fontId="0" fillId="0" borderId="18" xfId="0" applyNumberFormat="1" applyBorder="1" applyAlignment="1">
      <alignment horizontal="center"/>
    </xf>
    <xf numFmtId="165" fontId="0" fillId="0" borderId="1" xfId="0" applyNumberFormat="1" applyBorder="1" applyAlignment="1">
      <alignment horizontal="left"/>
    </xf>
    <xf numFmtId="165" fontId="0" fillId="0" borderId="0" xfId="0" quotePrefix="1" applyNumberFormat="1" applyAlignment="1">
      <alignment horizontal="left"/>
    </xf>
    <xf numFmtId="165" fontId="0" fillId="0" borderId="0" xfId="0" applyNumberFormat="1" applyAlignment="1">
      <alignment horizontal="left"/>
    </xf>
    <xf numFmtId="0" fontId="0" fillId="0" borderId="19" xfId="0" applyBorder="1" applyAlignment="1">
      <alignment horizontal="left"/>
    </xf>
    <xf numFmtId="0" fontId="19" fillId="0" borderId="0" xfId="0" applyFont="1"/>
    <xf numFmtId="0" fontId="12" fillId="0" borderId="0" xfId="0" applyFont="1" applyAlignment="1">
      <alignment horizontal="centerContinuous"/>
    </xf>
    <xf numFmtId="0" fontId="0" fillId="0" borderId="4" xfId="0" applyBorder="1" applyAlignment="1">
      <alignment horizontal="centerContinuous"/>
    </xf>
    <xf numFmtId="0" fontId="21" fillId="0" borderId="16" xfId="0" applyFont="1" applyBorder="1"/>
    <xf numFmtId="0" fontId="8" fillId="0" borderId="0" xfId="0" applyFont="1" applyAlignment="1">
      <alignment horizontal="centerContinuous"/>
    </xf>
    <xf numFmtId="0" fontId="11" fillId="0" borderId="1" xfId="0" applyFont="1" applyBorder="1"/>
    <xf numFmtId="0" fontId="1" fillId="0" borderId="31" xfId="0" applyFont="1" applyBorder="1" applyAlignment="1">
      <alignment horizontal="center"/>
    </xf>
    <xf numFmtId="0" fontId="0" fillId="0" borderId="33" xfId="0" applyBorder="1" applyAlignment="1">
      <alignment horizontal="centerContinuous"/>
    </xf>
    <xf numFmtId="0" fontId="1" fillId="0" borderId="30" xfId="0" applyFont="1" applyBorder="1"/>
    <xf numFmtId="0" fontId="1" fillId="0" borderId="27" xfId="0" applyFont="1" applyBorder="1"/>
    <xf numFmtId="0" fontId="0" fillId="0" borderId="0" xfId="0" applyAlignment="1">
      <alignment vertical="center"/>
    </xf>
    <xf numFmtId="0" fontId="0" fillId="0" borderId="9" xfId="0" applyBorder="1" applyAlignment="1">
      <alignment horizontal="center" vertical="center"/>
    </xf>
    <xf numFmtId="0" fontId="0" fillId="0" borderId="21" xfId="0" applyBorder="1" applyAlignment="1">
      <alignment horizontal="center" vertical="center"/>
    </xf>
    <xf numFmtId="0" fontId="11" fillId="0" borderId="20" xfId="0" applyFont="1" applyBorder="1" applyAlignment="1">
      <alignment horizontal="center" vertical="center" wrapText="1"/>
    </xf>
    <xf numFmtId="0" fontId="4" fillId="0" borderId="19" xfId="0" applyFont="1" applyBorder="1" applyAlignment="1">
      <alignment horizontal="centerContinuous" vertical="center"/>
    </xf>
    <xf numFmtId="0" fontId="4" fillId="0" borderId="17" xfId="0" applyFont="1" applyBorder="1" applyAlignment="1">
      <alignment horizontal="centerContinuous" vertical="center"/>
    </xf>
    <xf numFmtId="0" fontId="4" fillId="0" borderId="7" xfId="0" applyFont="1" applyBorder="1" applyAlignment="1">
      <alignment vertical="center"/>
    </xf>
    <xf numFmtId="0" fontId="4" fillId="0" borderId="8" xfId="0" applyFont="1" applyBorder="1" applyAlignment="1">
      <alignment horizontal="center" vertical="center" wrapText="1"/>
    </xf>
    <xf numFmtId="0" fontId="11" fillId="0" borderId="22" xfId="0" applyFont="1" applyBorder="1" applyAlignment="1">
      <alignment horizontal="center"/>
    </xf>
    <xf numFmtId="0" fontId="11" fillId="0" borderId="21" xfId="0" applyFont="1" applyBorder="1" applyAlignment="1">
      <alignment horizontal="center" vertical="top"/>
    </xf>
    <xf numFmtId="2" fontId="4" fillId="0" borderId="16" xfId="0" applyNumberFormat="1" applyFont="1" applyBorder="1"/>
    <xf numFmtId="2" fontId="4" fillId="0" borderId="16" xfId="0" applyNumberFormat="1" applyFont="1" applyBorder="1" applyAlignment="1">
      <alignment horizontal="centerContinuous"/>
    </xf>
    <xf numFmtId="0" fontId="11" fillId="0" borderId="0" xfId="0" applyFont="1" applyAlignment="1">
      <alignment vertical="center"/>
    </xf>
    <xf numFmtId="0" fontId="11" fillId="0" borderId="0" xfId="0" applyFont="1" applyAlignment="1">
      <alignment horizontal="center"/>
    </xf>
    <xf numFmtId="2" fontId="11" fillId="0" borderId="0" xfId="0" applyNumberFormat="1" applyFont="1" applyAlignment="1">
      <alignment horizontal="center"/>
    </xf>
    <xf numFmtId="0" fontId="26" fillId="0" borderId="9" xfId="0" applyFont="1" applyBorder="1" applyAlignment="1">
      <alignment horizontal="center" vertical="center"/>
    </xf>
    <xf numFmtId="0" fontId="21" fillId="0" borderId="0" xfId="0" applyFont="1" applyAlignment="1">
      <alignment horizontal="center"/>
    </xf>
    <xf numFmtId="0" fontId="21" fillId="0" borderId="1" xfId="0" applyFont="1" applyBorder="1"/>
    <xf numFmtId="0" fontId="0" fillId="0" borderId="1" xfId="0" applyBorder="1" applyProtection="1">
      <protection locked="0"/>
    </xf>
    <xf numFmtId="0" fontId="0" fillId="0" borderId="0" xfId="0" applyProtection="1">
      <protection locked="0"/>
    </xf>
    <xf numFmtId="0" fontId="0" fillId="0" borderId="8" xfId="0" applyBorder="1" applyProtection="1">
      <protection locked="0"/>
    </xf>
    <xf numFmtId="0" fontId="0" fillId="0" borderId="5" xfId="0" applyBorder="1" applyProtection="1">
      <protection locked="0"/>
    </xf>
    <xf numFmtId="0" fontId="0" fillId="0" borderId="7" xfId="0" applyBorder="1" applyProtection="1">
      <protection locked="0"/>
    </xf>
    <xf numFmtId="2" fontId="19" fillId="0" borderId="35" xfId="0" applyNumberFormat="1" applyFont="1" applyBorder="1" applyAlignment="1" applyProtection="1">
      <alignment horizontal="center"/>
      <protection locked="0"/>
    </xf>
    <xf numFmtId="2" fontId="19" fillId="0" borderId="9" xfId="0" applyNumberFormat="1" applyFont="1" applyBorder="1" applyAlignment="1" applyProtection="1">
      <alignment horizontal="center"/>
      <protection locked="0"/>
    </xf>
    <xf numFmtId="2" fontId="20" fillId="0" borderId="35" xfId="0" applyNumberFormat="1" applyFont="1" applyBorder="1" applyAlignment="1" applyProtection="1">
      <alignment horizontal="center"/>
      <protection locked="0"/>
    </xf>
    <xf numFmtId="2" fontId="20" fillId="0" borderId="9" xfId="0" applyNumberFormat="1" applyFont="1" applyBorder="1" applyAlignment="1" applyProtection="1">
      <alignment horizontal="center"/>
      <protection locked="0"/>
    </xf>
    <xf numFmtId="0" fontId="11" fillId="0" borderId="2" xfId="0" applyFont="1" applyBorder="1"/>
    <xf numFmtId="0" fontId="11" fillId="0" borderId="5" xfId="0" applyFont="1" applyBorder="1"/>
    <xf numFmtId="0" fontId="29" fillId="0" borderId="0" xfId="0" applyFont="1"/>
    <xf numFmtId="0" fontId="0" fillId="0" borderId="0" xfId="0" quotePrefix="1" applyAlignment="1">
      <alignment horizontal="center"/>
    </xf>
    <xf numFmtId="0" fontId="0" fillId="0" borderId="1" xfId="0" quotePrefix="1" applyBorder="1" applyAlignment="1">
      <alignment horizontal="center"/>
    </xf>
    <xf numFmtId="2" fontId="0" fillId="0" borderId="0" xfId="0" applyNumberFormat="1" applyAlignment="1">
      <alignment horizontal="centerContinuous"/>
    </xf>
    <xf numFmtId="0" fontId="2" fillId="0" borderId="5" xfId="0" applyFont="1" applyBorder="1" applyAlignment="1">
      <alignment horizontal="centerContinuous"/>
    </xf>
    <xf numFmtId="0" fontId="31" fillId="0" borderId="7" xfId="0" applyFont="1" applyBorder="1" applyAlignment="1">
      <alignment horizontal="center"/>
    </xf>
    <xf numFmtId="0" fontId="31" fillId="0" borderId="28" xfId="0" applyFont="1" applyBorder="1" applyAlignment="1">
      <alignment horizontal="center"/>
    </xf>
    <xf numFmtId="0" fontId="31" fillId="0" borderId="36" xfId="0" applyFont="1" applyBorder="1" applyAlignment="1">
      <alignment horizontal="center"/>
    </xf>
    <xf numFmtId="0" fontId="31" fillId="0" borderId="37" xfId="0" applyFont="1" applyBorder="1" applyAlignment="1">
      <alignment horizontal="center"/>
    </xf>
    <xf numFmtId="0" fontId="31" fillId="0" borderId="7" xfId="0" applyFont="1" applyBorder="1" applyAlignment="1">
      <alignment horizontal="left"/>
    </xf>
    <xf numFmtId="0" fontId="30" fillId="0" borderId="19" xfId="0" applyFont="1" applyBorder="1" applyAlignment="1">
      <alignment horizontal="center"/>
    </xf>
    <xf numFmtId="0" fontId="0" fillId="0" borderId="16" xfId="0" applyBorder="1" applyAlignment="1">
      <alignment vertical="center"/>
    </xf>
    <xf numFmtId="0" fontId="29" fillId="0" borderId="9" xfId="0" applyFont="1" applyBorder="1" applyAlignment="1">
      <alignment horizontal="center"/>
    </xf>
    <xf numFmtId="0" fontId="0" fillId="0" borderId="11" xfId="0" applyBorder="1"/>
    <xf numFmtId="0" fontId="0" fillId="0" borderId="27" xfId="0" applyBorder="1"/>
    <xf numFmtId="0" fontId="0" fillId="0" borderId="22" xfId="0" applyBorder="1" applyAlignment="1">
      <alignment horizontal="center" wrapText="1" shrinkToFit="1"/>
    </xf>
    <xf numFmtId="0" fontId="0" fillId="0" borderId="20" xfId="0" applyBorder="1" applyAlignment="1">
      <alignment horizontal="center" wrapText="1" shrinkToFit="1"/>
    </xf>
    <xf numFmtId="0" fontId="11" fillId="0" borderId="19" xfId="0" applyFont="1" applyBorder="1"/>
    <xf numFmtId="0" fontId="13" fillId="0" borderId="0" xfId="0" applyFont="1" applyAlignment="1">
      <alignment horizontal="right"/>
    </xf>
    <xf numFmtId="0" fontId="1" fillId="0" borderId="2" xfId="0" applyFont="1" applyBorder="1" applyAlignment="1">
      <alignment horizontal="centerContinuous"/>
    </xf>
    <xf numFmtId="0" fontId="1" fillId="0" borderId="19" xfId="0" applyFont="1" applyBorder="1" applyAlignment="1">
      <alignment horizontal="centerContinuous"/>
    </xf>
    <xf numFmtId="0" fontId="1" fillId="0" borderId="16" xfId="0" applyFont="1" applyBorder="1" applyAlignment="1">
      <alignment horizontal="centerContinuous"/>
    </xf>
    <xf numFmtId="0" fontId="1" fillId="0" borderId="17" xfId="0" applyFont="1" applyBorder="1" applyAlignment="1">
      <alignment horizontal="centerContinuous"/>
    </xf>
    <xf numFmtId="165" fontId="0" fillId="0" borderId="38" xfId="0" applyNumberFormat="1" applyBorder="1" applyAlignment="1">
      <alignment horizontal="center"/>
    </xf>
    <xf numFmtId="165" fontId="0" fillId="0" borderId="9" xfId="0" quotePrefix="1" applyNumberFormat="1" applyBorder="1" applyAlignment="1">
      <alignment horizontal="center"/>
    </xf>
    <xf numFmtId="165" fontId="0" fillId="0" borderId="9" xfId="0" applyNumberFormat="1" applyBorder="1"/>
    <xf numFmtId="165" fontId="0" fillId="0" borderId="0" xfId="0" applyNumberFormat="1"/>
    <xf numFmtId="2" fontId="0" fillId="0" borderId="0" xfId="0" quotePrefix="1" applyNumberFormat="1"/>
    <xf numFmtId="0" fontId="1" fillId="0" borderId="29" xfId="0" applyFont="1" applyBorder="1" applyAlignment="1">
      <alignment horizontal="centerContinuous"/>
    </xf>
    <xf numFmtId="0" fontId="1" fillId="0" borderId="24" xfId="0" applyFont="1" applyBorder="1" applyAlignment="1">
      <alignment horizontal="centerContinuous"/>
    </xf>
    <xf numFmtId="0" fontId="1" fillId="0" borderId="36" xfId="0" applyFont="1" applyBorder="1" applyAlignment="1">
      <alignment horizontal="centerContinuous"/>
    </xf>
    <xf numFmtId="0" fontId="4" fillId="0" borderId="23" xfId="0" applyFont="1" applyBorder="1"/>
    <xf numFmtId="0" fontId="4" fillId="0" borderId="29" xfId="0" applyFont="1" applyBorder="1"/>
    <xf numFmtId="0" fontId="13" fillId="0" borderId="29" xfId="0" applyFont="1" applyBorder="1" applyAlignment="1">
      <alignment horizontal="center"/>
    </xf>
    <xf numFmtId="0" fontId="4" fillId="0" borderId="24" xfId="0" applyFont="1" applyBorder="1"/>
    <xf numFmtId="0" fontId="10" fillId="0" borderId="37" xfId="0" applyFont="1" applyBorder="1" applyAlignment="1">
      <alignment horizontal="centerContinuous"/>
    </xf>
    <xf numFmtId="0" fontId="10" fillId="0" borderId="29" xfId="0" applyFont="1" applyBorder="1" applyAlignment="1">
      <alignment horizontal="centerContinuous"/>
    </xf>
    <xf numFmtId="0" fontId="0" fillId="0" borderId="29" xfId="0" applyBorder="1" applyAlignment="1">
      <alignment horizontal="centerContinuous"/>
    </xf>
    <xf numFmtId="0" fontId="0" fillId="0" borderId="32" xfId="0" applyBorder="1" applyAlignment="1">
      <alignment horizontal="centerContinuous"/>
    </xf>
    <xf numFmtId="0" fontId="0" fillId="0" borderId="28" xfId="0" applyBorder="1"/>
    <xf numFmtId="0" fontId="1" fillId="0" borderId="39" xfId="0" applyFont="1" applyBorder="1"/>
    <xf numFmtId="0" fontId="0" fillId="0" borderId="40" xfId="0" applyBorder="1"/>
    <xf numFmtId="0" fontId="0" fillId="0" borderId="11" xfId="0" applyBorder="1" applyAlignment="1">
      <alignment horizontal="center"/>
    </xf>
    <xf numFmtId="0" fontId="31" fillId="0" borderId="0" xfId="0" applyFont="1"/>
    <xf numFmtId="0" fontId="0" fillId="0" borderId="26" xfId="0" applyBorder="1"/>
    <xf numFmtId="166" fontId="0" fillId="0" borderId="9" xfId="0" applyNumberFormat="1" applyBorder="1" applyAlignment="1">
      <alignment horizontal="center"/>
    </xf>
    <xf numFmtId="166" fontId="0" fillId="0" borderId="6" xfId="0" applyNumberFormat="1" applyBorder="1" applyAlignment="1">
      <alignment horizontal="center"/>
    </xf>
    <xf numFmtId="0" fontId="0" fillId="0" borderId="12" xfId="0" applyBorder="1" applyAlignment="1">
      <alignment horizontal="centerContinuous"/>
    </xf>
    <xf numFmtId="0" fontId="0" fillId="0" borderId="26" xfId="0" applyBorder="1" applyAlignment="1">
      <alignment horizontal="center"/>
    </xf>
    <xf numFmtId="2" fontId="0" fillId="0" borderId="0" xfId="0" quotePrefix="1" applyNumberFormat="1" applyAlignment="1">
      <alignment horizontal="left"/>
    </xf>
    <xf numFmtId="0" fontId="30" fillId="0" borderId="16" xfId="0" applyFont="1" applyBorder="1"/>
    <xf numFmtId="166" fontId="0" fillId="0" borderId="8" xfId="0" applyNumberFormat="1" applyBorder="1" applyAlignment="1">
      <alignment horizontal="center"/>
    </xf>
    <xf numFmtId="0" fontId="0" fillId="0" borderId="39" xfId="0" applyBorder="1"/>
    <xf numFmtId="0" fontId="4" fillId="0" borderId="13" xfId="0" applyFont="1" applyBorder="1"/>
    <xf numFmtId="0" fontId="1" fillId="0" borderId="37" xfId="0" applyFont="1" applyBorder="1" applyAlignment="1">
      <alignment horizontal="centerContinuous"/>
    </xf>
    <xf numFmtId="0" fontId="21" fillId="0" borderId="16" xfId="0" quotePrefix="1" applyFont="1" applyBorder="1" applyAlignment="1">
      <alignment horizontal="center"/>
    </xf>
    <xf numFmtId="0" fontId="35" fillId="0" borderId="7" xfId="0" applyFont="1" applyBorder="1" applyAlignment="1">
      <alignment vertical="center"/>
    </xf>
    <xf numFmtId="0" fontId="4" fillId="0" borderId="1" xfId="0" applyFont="1" applyBorder="1" applyAlignment="1">
      <alignment vertical="center"/>
    </xf>
    <xf numFmtId="0" fontId="0" fillId="0" borderId="8" xfId="0" applyBorder="1" applyAlignment="1">
      <alignment vertical="center"/>
    </xf>
    <xf numFmtId="1" fontId="25" fillId="0" borderId="9" xfId="0" applyNumberFormat="1" applyFont="1" applyBorder="1" applyAlignment="1" applyProtection="1">
      <alignment horizontal="center" vertical="center"/>
      <protection locked="0"/>
    </xf>
    <xf numFmtId="1" fontId="4" fillId="0" borderId="9" xfId="0" applyNumberFormat="1" applyFont="1" applyBorder="1" applyAlignment="1">
      <alignment horizontal="center" vertical="center"/>
    </xf>
    <xf numFmtId="0" fontId="36" fillId="0" borderId="0" xfId="0" applyFont="1"/>
    <xf numFmtId="2" fontId="0" fillId="0" borderId="0" xfId="0" quotePrefix="1" applyNumberFormat="1" applyAlignment="1">
      <alignment horizontal="center"/>
    </xf>
    <xf numFmtId="0" fontId="11" fillId="0" borderId="9" xfId="0" applyFont="1" applyBorder="1" applyAlignment="1">
      <alignment horizontal="center"/>
    </xf>
    <xf numFmtId="2" fontId="0" fillId="0" borderId="0" xfId="0" applyNumberFormat="1" applyAlignment="1">
      <alignment horizontal="center"/>
    </xf>
    <xf numFmtId="1" fontId="25" fillId="0" borderId="17" xfId="0" applyNumberFormat="1" applyFont="1" applyBorder="1" applyAlignment="1" applyProtection="1">
      <alignment horizontal="center" vertical="center"/>
      <protection locked="0"/>
    </xf>
    <xf numFmtId="1" fontId="0" fillId="0" borderId="0" xfId="0" quotePrefix="1" applyNumberFormat="1" applyAlignment="1">
      <alignment horizontal="left"/>
    </xf>
    <xf numFmtId="2" fontId="19" fillId="0" borderId="41" xfId="0" applyNumberFormat="1" applyFont="1" applyBorder="1" applyAlignment="1" applyProtection="1">
      <alignment horizontal="center"/>
      <protection locked="0"/>
    </xf>
    <xf numFmtId="2" fontId="19" fillId="0" borderId="21" xfId="0" applyNumberFormat="1" applyFont="1" applyBorder="1" applyAlignment="1" applyProtection="1">
      <alignment horizontal="center"/>
      <protection locked="0"/>
    </xf>
    <xf numFmtId="0" fontId="21" fillId="0" borderId="0" xfId="0" quotePrefix="1" applyFont="1" applyAlignment="1">
      <alignment horizontal="right"/>
    </xf>
    <xf numFmtId="0" fontId="22" fillId="0" borderId="0" xfId="0" applyFont="1" applyAlignment="1">
      <alignment horizontal="center"/>
    </xf>
    <xf numFmtId="0" fontId="39" fillId="0" borderId="0" xfId="0" applyFont="1"/>
    <xf numFmtId="0" fontId="27" fillId="0" borderId="2" xfId="0" applyFont="1" applyBorder="1"/>
    <xf numFmtId="0" fontId="27" fillId="0" borderId="5" xfId="0" applyFont="1" applyBorder="1"/>
    <xf numFmtId="0" fontId="27" fillId="0" borderId="7" xfId="0" applyFont="1" applyBorder="1"/>
    <xf numFmtId="0" fontId="41" fillId="0" borderId="3" xfId="0" applyFont="1" applyBorder="1"/>
    <xf numFmtId="0" fontId="41" fillId="0" borderId="3" xfId="0" applyFont="1" applyBorder="1" applyAlignment="1">
      <alignment horizontal="center"/>
    </xf>
    <xf numFmtId="0" fontId="9" fillId="0" borderId="7" xfId="0" applyFont="1" applyBorder="1"/>
    <xf numFmtId="0" fontId="29" fillId="0" borderId="19" xfId="0" applyFont="1" applyBorder="1" applyAlignment="1">
      <alignment vertical="center"/>
    </xf>
    <xf numFmtId="0" fontId="0" fillId="0" borderId="17" xfId="0" applyBorder="1" applyAlignment="1">
      <alignment vertical="center"/>
    </xf>
    <xf numFmtId="0" fontId="11" fillId="0" borderId="0" xfId="0" quotePrefix="1" applyFont="1"/>
    <xf numFmtId="0" fontId="13" fillId="0" borderId="1" xfId="0" applyFont="1" applyBorder="1" applyAlignment="1">
      <alignment horizontal="center"/>
    </xf>
    <xf numFmtId="17" fontId="0" fillId="0" borderId="0" xfId="0" applyNumberFormat="1" applyAlignment="1">
      <alignment horizontal="center" vertical="top" wrapText="1"/>
    </xf>
    <xf numFmtId="17" fontId="0" fillId="0" borderId="0" xfId="0" applyNumberFormat="1" applyAlignment="1">
      <alignment horizontal="center" vertical="top"/>
    </xf>
    <xf numFmtId="17" fontId="0" fillId="0" borderId="0" xfId="0" applyNumberFormat="1" applyAlignment="1">
      <alignment horizontal="center"/>
    </xf>
    <xf numFmtId="0" fontId="45" fillId="0" borderId="1" xfId="0" applyFont="1" applyBorder="1"/>
    <xf numFmtId="0" fontId="13" fillId="0" borderId="1" xfId="0" applyFont="1" applyBorder="1"/>
    <xf numFmtId="0" fontId="27" fillId="0" borderId="9" xfId="0" applyFont="1" applyBorder="1" applyAlignment="1" applyProtection="1">
      <alignment horizontal="center"/>
      <protection locked="0"/>
    </xf>
    <xf numFmtId="0" fontId="27" fillId="0" borderId="7" xfId="0" applyFont="1" applyBorder="1" applyProtection="1">
      <protection locked="0"/>
    </xf>
    <xf numFmtId="0" fontId="40" fillId="0" borderId="0" xfId="0" applyFont="1" applyAlignment="1">
      <alignment vertical="center"/>
    </xf>
    <xf numFmtId="0" fontId="40" fillId="0" borderId="1" xfId="0" applyFont="1" applyBorder="1" applyAlignment="1">
      <alignment vertical="center"/>
    </xf>
    <xf numFmtId="0" fontId="11" fillId="0" borderId="9" xfId="0" applyFont="1" applyBorder="1" applyAlignment="1">
      <alignment horizontal="left"/>
    </xf>
    <xf numFmtId="14" fontId="0" fillId="0" borderId="9" xfId="0" applyNumberFormat="1" applyBorder="1" applyAlignment="1">
      <alignment horizontal="center"/>
    </xf>
    <xf numFmtId="0" fontId="11" fillId="2" borderId="0" xfId="2" applyFill="1"/>
    <xf numFmtId="0" fontId="11" fillId="2" borderId="11" xfId="2" applyFill="1" applyBorder="1"/>
    <xf numFmtId="0" fontId="11" fillId="2" borderId="12" xfId="2" applyFill="1" applyBorder="1"/>
    <xf numFmtId="0" fontId="46" fillId="3" borderId="12" xfId="2" applyFont="1" applyFill="1" applyBorder="1" applyAlignment="1">
      <alignment horizontal="center" vertical="center" wrapText="1"/>
    </xf>
    <xf numFmtId="0" fontId="11" fillId="2" borderId="0" xfId="2" applyFill="1" applyAlignment="1">
      <alignment vertical="center"/>
    </xf>
    <xf numFmtId="0" fontId="46" fillId="3" borderId="12" xfId="2" applyFont="1" applyFill="1" applyBorder="1" applyAlignment="1">
      <alignment horizontal="center" vertical="top" wrapText="1"/>
    </xf>
    <xf numFmtId="0" fontId="46" fillId="3" borderId="27" xfId="2" applyFont="1" applyFill="1" applyBorder="1" applyAlignment="1">
      <alignment horizontal="center" vertical="top" wrapText="1"/>
    </xf>
    <xf numFmtId="0" fontId="46" fillId="3" borderId="13" xfId="2" applyFont="1" applyFill="1" applyBorder="1" applyAlignment="1">
      <alignment horizontal="center" vertical="top" wrapText="1"/>
    </xf>
    <xf numFmtId="0" fontId="46" fillId="3" borderId="14" xfId="2" applyFont="1" applyFill="1" applyBorder="1" applyAlignment="1">
      <alignment horizontal="center" vertical="top" wrapText="1"/>
    </xf>
    <xf numFmtId="0" fontId="11" fillId="2" borderId="42" xfId="2" applyFill="1" applyBorder="1"/>
    <xf numFmtId="0" fontId="7" fillId="0" borderId="0" xfId="0" applyFont="1"/>
    <xf numFmtId="0" fontId="51" fillId="2" borderId="0" xfId="0" applyFont="1" applyFill="1" applyAlignment="1" applyProtection="1">
      <alignment horizontal="center"/>
      <protection locked="0"/>
    </xf>
    <xf numFmtId="0" fontId="51" fillId="2" borderId="0" xfId="0" applyFont="1" applyFill="1" applyAlignment="1" applyProtection="1">
      <alignment horizontal="right"/>
      <protection locked="0"/>
    </xf>
    <xf numFmtId="0" fontId="51" fillId="2" borderId="0" xfId="0" applyFont="1" applyFill="1" applyProtection="1">
      <protection locked="0"/>
    </xf>
    <xf numFmtId="0" fontId="8" fillId="2" borderId="0" xfId="0" applyFont="1" applyFill="1" applyProtection="1">
      <protection locked="0"/>
    </xf>
    <xf numFmtId="0" fontId="0" fillId="2" borderId="0" xfId="0" applyFill="1" applyProtection="1">
      <protection locked="0"/>
    </xf>
    <xf numFmtId="0" fontId="52" fillId="2" borderId="0" xfId="1" applyFont="1" applyFill="1" applyAlignment="1" applyProtection="1">
      <protection locked="0"/>
    </xf>
    <xf numFmtId="0" fontId="53" fillId="0" borderId="0" xfId="0" applyFont="1" applyProtection="1">
      <protection locked="0"/>
    </xf>
    <xf numFmtId="0" fontId="55" fillId="4" borderId="30" xfId="0" applyFont="1" applyFill="1" applyBorder="1" applyAlignment="1" applyProtection="1">
      <alignment horizontal="center" vertical="center" wrapText="1"/>
      <protection locked="0"/>
    </xf>
    <xf numFmtId="0" fontId="55" fillId="4" borderId="43" xfId="0" applyFont="1" applyFill="1" applyBorder="1" applyAlignment="1" applyProtection="1">
      <alignment horizontal="center" vertical="center" wrapText="1"/>
      <protection locked="0"/>
    </xf>
    <xf numFmtId="0" fontId="55" fillId="4" borderId="42" xfId="0" applyFont="1" applyFill="1" applyBorder="1" applyAlignment="1" applyProtection="1">
      <alignment horizontal="center" vertical="center" wrapText="1"/>
      <protection locked="0"/>
    </xf>
    <xf numFmtId="0" fontId="55" fillId="4" borderId="33" xfId="0" applyFont="1" applyFill="1" applyBorder="1" applyAlignment="1" applyProtection="1">
      <alignment horizontal="center" vertical="center" wrapText="1"/>
      <protection locked="0"/>
    </xf>
    <xf numFmtId="166" fontId="0" fillId="6" borderId="9" xfId="0" applyNumberFormat="1" applyFill="1" applyBorder="1" applyAlignment="1">
      <alignment wrapText="1"/>
    </xf>
    <xf numFmtId="0" fontId="0" fillId="0" borderId="44" xfId="0" applyBorder="1" applyAlignment="1" applyProtection="1">
      <alignment horizontal="center"/>
      <protection locked="0"/>
    </xf>
    <xf numFmtId="0" fontId="28" fillId="0" borderId="0" xfId="0" applyFont="1" applyAlignment="1" applyProtection="1">
      <alignment vertical="top" wrapText="1"/>
      <protection locked="0"/>
    </xf>
    <xf numFmtId="0" fontId="56" fillId="0" borderId="25" xfId="0"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45" xfId="0" applyBorder="1" applyAlignment="1" applyProtection="1">
      <alignment horizontal="center"/>
      <protection locked="0"/>
    </xf>
    <xf numFmtId="0" fontId="0" fillId="0" borderId="45" xfId="0" applyBorder="1" applyProtection="1">
      <protection locked="0"/>
    </xf>
    <xf numFmtId="0" fontId="0" fillId="0" borderId="16" xfId="0" applyBorder="1" applyAlignment="1" applyProtection="1">
      <alignment horizontal="center"/>
      <protection locked="0"/>
    </xf>
    <xf numFmtId="0" fontId="3" fillId="0" borderId="0" xfId="0" applyFont="1" applyAlignment="1" applyProtection="1">
      <alignment vertical="top" wrapText="1"/>
      <protection locked="0"/>
    </xf>
    <xf numFmtId="49" fontId="57" fillId="0" borderId="23" xfId="0" applyNumberFormat="1" applyFont="1" applyBorder="1" applyAlignment="1" applyProtection="1">
      <alignment horizontal="center"/>
      <protection locked="0"/>
    </xf>
    <xf numFmtId="0" fontId="3" fillId="0" borderId="16" xfId="0" applyFont="1" applyBorder="1" applyAlignment="1" applyProtection="1">
      <alignment horizontal="center"/>
      <protection locked="0"/>
    </xf>
    <xf numFmtId="17" fontId="0" fillId="0" borderId="45" xfId="0" applyNumberFormat="1" applyBorder="1" applyAlignment="1" applyProtection="1">
      <alignment horizontal="center"/>
      <protection locked="0"/>
    </xf>
    <xf numFmtId="0" fontId="3" fillId="0" borderId="34" xfId="0" applyFont="1" applyBorder="1" applyAlignment="1" applyProtection="1">
      <alignment horizontal="center"/>
      <protection locked="0"/>
    </xf>
    <xf numFmtId="0" fontId="56" fillId="0" borderId="46" xfId="0" applyFont="1" applyBorder="1" applyAlignment="1" applyProtection="1">
      <alignment horizontal="center"/>
      <protection locked="0"/>
    </xf>
    <xf numFmtId="49" fontId="57" fillId="0" borderId="46" xfId="0" applyNumberFormat="1" applyFont="1" applyBorder="1" applyAlignment="1" applyProtection="1">
      <alignment horizontal="center"/>
      <protection locked="0"/>
    </xf>
    <xf numFmtId="0" fontId="0" fillId="0" borderId="47" xfId="0" applyBorder="1" applyProtection="1">
      <protection locked="0"/>
    </xf>
    <xf numFmtId="0" fontId="0" fillId="0" borderId="47" xfId="0" applyBorder="1" applyAlignment="1" applyProtection="1">
      <alignment horizontal="center"/>
      <protection locked="0"/>
    </xf>
    <xf numFmtId="0" fontId="0" fillId="0" borderId="48" xfId="0" applyBorder="1" applyAlignment="1" applyProtection="1">
      <alignment horizontal="center"/>
      <protection locked="0"/>
    </xf>
    <xf numFmtId="0" fontId="0" fillId="0" borderId="38" xfId="0" applyBorder="1" applyAlignment="1" applyProtection="1">
      <alignment horizontal="center"/>
      <protection locked="0"/>
    </xf>
    <xf numFmtId="0" fontId="0" fillId="7" borderId="0" xfId="0" applyFill="1" applyProtection="1">
      <protection locked="0"/>
    </xf>
    <xf numFmtId="0" fontId="0" fillId="0" borderId="0" xfId="0" applyAlignment="1" applyProtection="1">
      <alignment horizontal="right"/>
      <protection locked="0"/>
    </xf>
    <xf numFmtId="0" fontId="28" fillId="0" borderId="0" xfId="0" applyFont="1" applyProtection="1">
      <protection locked="0"/>
    </xf>
    <xf numFmtId="0" fontId="3" fillId="0" borderId="0" xfId="0" applyFont="1" applyProtection="1">
      <protection locked="0"/>
    </xf>
    <xf numFmtId="0" fontId="0" fillId="0" borderId="0" xfId="0" applyAlignment="1" applyProtection="1">
      <alignment horizontal="center"/>
      <protection locked="0"/>
    </xf>
    <xf numFmtId="0" fontId="60" fillId="0" borderId="23" xfId="0" applyFont="1" applyBorder="1" applyAlignment="1" applyProtection="1">
      <alignment horizontal="center"/>
      <protection locked="0"/>
    </xf>
    <xf numFmtId="49" fontId="61" fillId="7" borderId="23" xfId="0" applyNumberFormat="1" applyFont="1" applyFill="1" applyBorder="1" applyAlignment="1" applyProtection="1">
      <alignment horizontal="center"/>
      <protection locked="0"/>
    </xf>
    <xf numFmtId="166" fontId="22" fillId="6" borderId="9" xfId="0" applyNumberFormat="1" applyFont="1" applyFill="1" applyBorder="1" applyAlignment="1">
      <alignment wrapText="1"/>
    </xf>
    <xf numFmtId="0" fontId="22" fillId="0" borderId="32" xfId="0" applyFont="1" applyBorder="1" applyAlignment="1" applyProtection="1">
      <alignment horizontal="center"/>
      <protection locked="0"/>
    </xf>
    <xf numFmtId="0" fontId="22" fillId="0" borderId="44" xfId="0" applyFont="1" applyBorder="1" applyAlignment="1" applyProtection="1">
      <alignment horizontal="center"/>
      <protection locked="0"/>
    </xf>
    <xf numFmtId="0" fontId="22" fillId="0" borderId="44" xfId="0" applyFont="1" applyBorder="1" applyProtection="1">
      <protection locked="0"/>
    </xf>
    <xf numFmtId="0" fontId="22" fillId="0" borderId="29" xfId="0" applyFont="1" applyBorder="1" applyAlignment="1" applyProtection="1">
      <alignment horizontal="center"/>
      <protection locked="0"/>
    </xf>
    <xf numFmtId="17" fontId="22" fillId="0" borderId="44" xfId="0" applyNumberFormat="1" applyFont="1" applyBorder="1" applyAlignment="1" applyProtection="1">
      <alignment horizontal="center"/>
      <protection locked="0"/>
    </xf>
    <xf numFmtId="0" fontId="60" fillId="0" borderId="25" xfId="0" applyFont="1" applyBorder="1" applyAlignment="1" applyProtection="1">
      <alignment horizontal="center"/>
      <protection locked="0"/>
    </xf>
    <xf numFmtId="0" fontId="22" fillId="0" borderId="34" xfId="0" applyFont="1" applyBorder="1" applyAlignment="1" applyProtection="1">
      <alignment horizontal="center"/>
      <protection locked="0"/>
    </xf>
    <xf numFmtId="0" fontId="22" fillId="0" borderId="45" xfId="0" applyFont="1" applyBorder="1" applyAlignment="1" applyProtection="1">
      <alignment horizontal="center"/>
      <protection locked="0"/>
    </xf>
    <xf numFmtId="0" fontId="22" fillId="0" borderId="45" xfId="0" applyFont="1" applyBorder="1" applyProtection="1">
      <protection locked="0"/>
    </xf>
    <xf numFmtId="0" fontId="22" fillId="0" borderId="16" xfId="0" applyFont="1" applyBorder="1" applyAlignment="1" applyProtection="1">
      <alignment horizontal="center"/>
      <protection locked="0"/>
    </xf>
    <xf numFmtId="49" fontId="61" fillId="0" borderId="23" xfId="0" applyNumberFormat="1" applyFont="1" applyBorder="1" applyAlignment="1" applyProtection="1">
      <alignment horizontal="center"/>
      <protection locked="0"/>
    </xf>
    <xf numFmtId="0" fontId="0" fillId="0" borderId="9" xfId="0" applyBorder="1" applyProtection="1">
      <protection locked="0"/>
    </xf>
    <xf numFmtId="0" fontId="0" fillId="0" borderId="49" xfId="0" applyBorder="1"/>
    <xf numFmtId="0" fontId="0" fillId="0" borderId="35"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31" xfId="0" applyBorder="1"/>
    <xf numFmtId="0" fontId="0" fillId="0" borderId="54" xfId="0" applyBorder="1"/>
    <xf numFmtId="0" fontId="73" fillId="0" borderId="0" xfId="0" applyFont="1"/>
    <xf numFmtId="0" fontId="74" fillId="0" borderId="0" xfId="0" applyFont="1"/>
    <xf numFmtId="0" fontId="74" fillId="0" borderId="0" xfId="0" applyFont="1" applyAlignment="1">
      <alignment horizontal="center"/>
    </xf>
    <xf numFmtId="14" fontId="0" fillId="0" borderId="0" xfId="0" applyNumberFormat="1"/>
    <xf numFmtId="14" fontId="0" fillId="0" borderId="0" xfId="0" applyNumberFormat="1" applyProtection="1">
      <protection locked="0"/>
    </xf>
    <xf numFmtId="14" fontId="0" fillId="0" borderId="6" xfId="0" applyNumberFormat="1" applyBorder="1" applyProtection="1">
      <protection locked="0"/>
    </xf>
    <xf numFmtId="14" fontId="0" fillId="0" borderId="1" xfId="0" applyNumberFormat="1" applyBorder="1" applyProtection="1">
      <protection locked="0"/>
    </xf>
    <xf numFmtId="14" fontId="0" fillId="0" borderId="8" xfId="0" applyNumberFormat="1" applyBorder="1" applyProtection="1">
      <protection locked="0"/>
    </xf>
    <xf numFmtId="14" fontId="0" fillId="0" borderId="2" xfId="0" applyNumberFormat="1" applyBorder="1"/>
    <xf numFmtId="14" fontId="0" fillId="0" borderId="7" xfId="0" applyNumberFormat="1" applyBorder="1" applyProtection="1">
      <protection locked="0"/>
    </xf>
    <xf numFmtId="0" fontId="3" fillId="0" borderId="0" xfId="4"/>
    <xf numFmtId="0" fontId="10" fillId="0" borderId="0" xfId="4" applyFont="1"/>
    <xf numFmtId="0" fontId="3" fillId="0" borderId="0" xfId="4" applyAlignment="1">
      <alignment wrapText="1"/>
    </xf>
    <xf numFmtId="0" fontId="29" fillId="0" borderId="9" xfId="4" applyFont="1" applyBorder="1" applyAlignment="1">
      <alignment horizontal="center" vertical="center" wrapText="1"/>
    </xf>
    <xf numFmtId="0" fontId="4" fillId="0" borderId="9" xfId="4" applyFont="1" applyBorder="1" applyAlignment="1">
      <alignment horizontal="center" vertical="center" wrapText="1"/>
    </xf>
    <xf numFmtId="0" fontId="3" fillId="0" borderId="0" xfId="3"/>
    <xf numFmtId="0" fontId="7" fillId="0" borderId="0" xfId="3" applyFont="1"/>
    <xf numFmtId="0" fontId="7" fillId="0" borderId="0" xfId="3" applyFont="1" applyAlignment="1">
      <alignment horizontal="left"/>
    </xf>
    <xf numFmtId="0" fontId="3" fillId="0" borderId="8" xfId="3" applyBorder="1"/>
    <xf numFmtId="0" fontId="3" fillId="0" borderId="1" xfId="3" applyBorder="1"/>
    <xf numFmtId="0" fontId="3" fillId="0" borderId="7" xfId="3" applyBorder="1"/>
    <xf numFmtId="0" fontId="3" fillId="0" borderId="6" xfId="3" applyBorder="1"/>
    <xf numFmtId="0" fontId="3" fillId="0" borderId="1" xfId="3" applyBorder="1" applyProtection="1">
      <protection locked="0"/>
    </xf>
    <xf numFmtId="0" fontId="4" fillId="0" borderId="0" xfId="3" applyFont="1"/>
    <xf numFmtId="0" fontId="3" fillId="0" borderId="5" xfId="3" applyBorder="1"/>
    <xf numFmtId="0" fontId="4" fillId="0" borderId="0" xfId="3" applyFont="1" applyAlignment="1">
      <alignment horizontal="center"/>
    </xf>
    <xf numFmtId="0" fontId="4" fillId="0" borderId="1" xfId="3" applyFont="1" applyBorder="1" applyProtection="1">
      <protection locked="0"/>
    </xf>
    <xf numFmtId="0" fontId="3" fillId="0" borderId="0" xfId="3" applyProtection="1">
      <protection locked="0"/>
    </xf>
    <xf numFmtId="0" fontId="3" fillId="0" borderId="16" xfId="3" applyBorder="1" applyProtection="1">
      <protection locked="0"/>
    </xf>
    <xf numFmtId="0" fontId="5" fillId="0" borderId="0" xfId="3" applyFont="1"/>
    <xf numFmtId="0" fontId="3" fillId="0" borderId="1" xfId="3" applyBorder="1" applyAlignment="1">
      <alignment horizontal="right"/>
    </xf>
    <xf numFmtId="0" fontId="4" fillId="0" borderId="0" xfId="3" applyFont="1" applyAlignment="1">
      <alignment horizontal="left"/>
    </xf>
    <xf numFmtId="0" fontId="3" fillId="0" borderId="1" xfId="3" applyBorder="1" applyAlignment="1" applyProtection="1">
      <alignment horizontal="centerContinuous"/>
      <protection locked="0"/>
    </xf>
    <xf numFmtId="0" fontId="4" fillId="0" borderId="0" xfId="3" applyFont="1" applyAlignment="1">
      <alignment horizontal="centerContinuous"/>
    </xf>
    <xf numFmtId="0" fontId="4" fillId="0" borderId="3" xfId="3" applyFont="1" applyBorder="1" applyAlignment="1">
      <alignment wrapText="1"/>
    </xf>
    <xf numFmtId="0" fontId="3" fillId="0" borderId="3" xfId="3" applyBorder="1"/>
    <xf numFmtId="0" fontId="3" fillId="0" borderId="0" xfId="3" applyAlignment="1">
      <alignment horizontal="centerContinuous"/>
    </xf>
    <xf numFmtId="0" fontId="3" fillId="0" borderId="4" xfId="3" applyBorder="1"/>
    <xf numFmtId="0" fontId="3" fillId="0" borderId="2" xfId="3" applyBorder="1"/>
    <xf numFmtId="0" fontId="3" fillId="8" borderId="5" xfId="3" applyFill="1" applyBorder="1"/>
    <xf numFmtId="0" fontId="3" fillId="8" borderId="0" xfId="3" applyFill="1"/>
    <xf numFmtId="0" fontId="5" fillId="8" borderId="0" xfId="3" applyFont="1" applyFill="1" applyAlignment="1">
      <alignment horizontal="center"/>
    </xf>
    <xf numFmtId="0" fontId="3" fillId="8" borderId="6" xfId="3" applyFill="1" applyBorder="1"/>
    <xf numFmtId="0" fontId="4" fillId="8" borderId="0" xfId="3" applyFont="1" applyFill="1"/>
    <xf numFmtId="0" fontId="6" fillId="8" borderId="0" xfId="3" applyFont="1" applyFill="1"/>
    <xf numFmtId="0" fontId="3" fillId="8" borderId="1" xfId="3" applyFill="1" applyBorder="1"/>
    <xf numFmtId="0" fontId="4" fillId="8" borderId="0" xfId="3" applyFont="1" applyFill="1" applyAlignment="1">
      <alignment horizontal="center"/>
    </xf>
    <xf numFmtId="0" fontId="3" fillId="8" borderId="8" xfId="3" applyFill="1" applyBorder="1"/>
    <xf numFmtId="0" fontId="3" fillId="8" borderId="7" xfId="3" applyFill="1" applyBorder="1"/>
    <xf numFmtId="0" fontId="3" fillId="0" borderId="1" xfId="3" applyBorder="1" applyAlignment="1">
      <alignment horizontal="center"/>
    </xf>
    <xf numFmtId="0" fontId="4" fillId="0" borderId="0" xfId="3" applyFont="1" applyAlignment="1">
      <alignment horizontal="right"/>
    </xf>
    <xf numFmtId="0" fontId="3" fillId="0" borderId="16" xfId="3" applyBorder="1"/>
    <xf numFmtId="0" fontId="3" fillId="0" borderId="0" xfId="3" applyAlignment="1">
      <alignment horizontal="center"/>
    </xf>
    <xf numFmtId="0" fontId="3" fillId="0" borderId="1" xfId="3" applyBorder="1" applyAlignment="1">
      <alignment horizontal="left"/>
    </xf>
    <xf numFmtId="0" fontId="3" fillId="0" borderId="0" xfId="3" applyAlignment="1">
      <alignment horizontal="right"/>
    </xf>
    <xf numFmtId="0" fontId="4" fillId="0" borderId="3" xfId="3" applyFont="1" applyBorder="1" applyAlignment="1">
      <alignment horizontal="center"/>
    </xf>
    <xf numFmtId="0" fontId="3" fillId="0" borderId="16" xfId="3" applyBorder="1" applyAlignment="1" applyProtection="1">
      <alignment horizontal="centerContinuous"/>
      <protection locked="0"/>
    </xf>
    <xf numFmtId="0" fontId="3" fillId="0" borderId="0" xfId="3" applyAlignment="1" applyProtection="1">
      <alignment horizontal="centerContinuous"/>
      <protection locked="0"/>
    </xf>
    <xf numFmtId="0" fontId="29" fillId="0" borderId="0" xfId="3" applyFont="1"/>
    <xf numFmtId="0" fontId="3" fillId="0" borderId="16" xfId="3" applyBorder="1" applyAlignment="1">
      <alignment horizontal="center"/>
    </xf>
    <xf numFmtId="0" fontId="3" fillId="0" borderId="0" xfId="3" applyAlignment="1">
      <alignment horizontal="left"/>
    </xf>
    <xf numFmtId="0" fontId="4" fillId="0" borderId="2" xfId="3" applyFont="1" applyBorder="1" applyAlignment="1">
      <alignment horizontal="left"/>
    </xf>
    <xf numFmtId="0" fontId="4" fillId="0" borderId="2" xfId="3" applyFont="1" applyBorder="1"/>
    <xf numFmtId="0" fontId="3" fillId="0" borderId="1" xfId="3" applyBorder="1" applyAlignment="1">
      <alignment horizontal="centerContinuous"/>
    </xf>
    <xf numFmtId="0" fontId="3" fillId="0" borderId="9" xfId="3" applyBorder="1" applyAlignment="1">
      <alignment horizontal="center"/>
    </xf>
    <xf numFmtId="0" fontId="3" fillId="0" borderId="16" xfId="3" applyBorder="1" applyAlignment="1">
      <alignment horizontal="centerContinuous"/>
    </xf>
    <xf numFmtId="0" fontId="3" fillId="0" borderId="17" xfId="3" applyBorder="1" applyAlignment="1">
      <alignment horizontal="centerContinuous"/>
    </xf>
    <xf numFmtId="0" fontId="3" fillId="0" borderId="20" xfId="3" applyBorder="1" applyAlignment="1">
      <alignment horizontal="center"/>
    </xf>
    <xf numFmtId="0" fontId="3" fillId="0" borderId="21" xfId="3" applyBorder="1" applyAlignment="1">
      <alignment horizontal="center"/>
    </xf>
    <xf numFmtId="0" fontId="3" fillId="0" borderId="3" xfId="3" applyBorder="1" applyAlignment="1">
      <alignment horizontal="center"/>
    </xf>
    <xf numFmtId="0" fontId="4" fillId="0" borderId="9" xfId="3" applyFont="1" applyBorder="1" applyAlignment="1">
      <alignment horizontal="center" vertical="center" textRotation="90"/>
    </xf>
    <xf numFmtId="0" fontId="4" fillId="0" borderId="5" xfId="3" applyFont="1" applyBorder="1" applyAlignment="1" applyProtection="1">
      <alignment vertical="top" wrapText="1"/>
      <protection locked="0"/>
    </xf>
    <xf numFmtId="0" fontId="4" fillId="0" borderId="5" xfId="3" applyFont="1" applyBorder="1" applyAlignment="1" applyProtection="1">
      <alignment horizontal="center" vertical="top" wrapText="1"/>
      <protection locked="0"/>
    </xf>
    <xf numFmtId="0" fontId="4" fillId="0" borderId="22" xfId="3" applyFont="1" applyBorder="1" applyAlignment="1" applyProtection="1">
      <alignment horizontal="center" vertical="top" wrapText="1"/>
      <protection locked="0"/>
    </xf>
    <xf numFmtId="0" fontId="4" fillId="0" borderId="20" xfId="3" applyFont="1" applyBorder="1" applyAlignment="1" applyProtection="1">
      <alignment horizontal="center" vertical="top" wrapText="1"/>
      <protection locked="0"/>
    </xf>
    <xf numFmtId="0" fontId="4" fillId="0" borderId="7" xfId="3" applyFont="1" applyBorder="1" applyAlignment="1" applyProtection="1">
      <alignment vertical="top" wrapText="1"/>
      <protection locked="0"/>
    </xf>
    <xf numFmtId="0" fontId="4" fillId="0" borderId="7" xfId="3" applyFont="1" applyBorder="1" applyAlignment="1" applyProtection="1">
      <alignment horizontal="center" vertical="top" wrapText="1"/>
      <protection locked="0"/>
    </xf>
    <xf numFmtId="0" fontId="4" fillId="0" borderId="21" xfId="3" applyFont="1" applyBorder="1" applyAlignment="1" applyProtection="1">
      <alignment horizontal="center" vertical="top" wrapText="1"/>
      <protection locked="0"/>
    </xf>
    <xf numFmtId="0" fontId="4" fillId="0" borderId="21" xfId="3" applyFont="1" applyBorder="1" applyAlignment="1" applyProtection="1">
      <alignment vertical="top" wrapText="1"/>
      <protection locked="0"/>
    </xf>
    <xf numFmtId="0" fontId="3" fillId="0" borderId="0" xfId="3" applyAlignment="1">
      <alignment vertical="center" wrapText="1"/>
    </xf>
    <xf numFmtId="0" fontId="8" fillId="0" borderId="0" xfId="3" applyFont="1" applyAlignment="1">
      <alignment vertical="center" wrapText="1"/>
    </xf>
    <xf numFmtId="0" fontId="3" fillId="0" borderId="0" xfId="3" applyAlignment="1">
      <alignment vertical="center"/>
    </xf>
    <xf numFmtId="0" fontId="29" fillId="0" borderId="0" xfId="3" applyFont="1" applyAlignment="1">
      <alignment horizontal="left" vertical="center" wrapText="1"/>
    </xf>
    <xf numFmtId="0" fontId="75" fillId="0" borderId="0" xfId="3" applyFont="1" applyAlignment="1">
      <alignment vertical="center" wrapText="1"/>
    </xf>
    <xf numFmtId="0" fontId="75" fillId="0" borderId="0" xfId="3" applyFont="1" applyAlignment="1">
      <alignment vertical="center"/>
    </xf>
    <xf numFmtId="0" fontId="3" fillId="0" borderId="19" xfId="3" applyBorder="1" applyAlignment="1">
      <alignment horizontal="center"/>
    </xf>
    <xf numFmtId="0" fontId="3" fillId="0" borderId="17" xfId="3" applyBorder="1" applyAlignment="1">
      <alignment horizontal="center" wrapText="1"/>
    </xf>
    <xf numFmtId="0" fontId="3" fillId="0" borderId="9" xfId="3" applyBorder="1" applyAlignment="1">
      <alignment horizontal="center" wrapText="1"/>
    </xf>
    <xf numFmtId="0" fontId="3" fillId="0" borderId="9" xfId="3" applyBorder="1" applyAlignment="1" applyProtection="1">
      <alignment horizontal="center"/>
      <protection locked="0"/>
    </xf>
    <xf numFmtId="0" fontId="3" fillId="0" borderId="9" xfId="3" applyBorder="1" applyProtection="1">
      <protection locked="0"/>
    </xf>
    <xf numFmtId="0" fontId="3" fillId="0" borderId="9" xfId="3" applyBorder="1" applyAlignment="1" applyProtection="1">
      <alignment vertical="top" wrapText="1"/>
      <protection locked="0"/>
    </xf>
    <xf numFmtId="0" fontId="3" fillId="0" borderId="9" xfId="3" applyBorder="1" applyAlignment="1" applyProtection="1">
      <alignment vertical="top"/>
      <protection locked="0"/>
    </xf>
    <xf numFmtId="0" fontId="8" fillId="0" borderId="0" xfId="3" applyFont="1" applyAlignment="1">
      <alignment horizontal="centerContinuous" vertical="center"/>
    </xf>
    <xf numFmtId="0" fontId="3" fillId="0" borderId="0" xfId="3" applyAlignment="1">
      <alignment horizontal="centerContinuous" vertical="center"/>
    </xf>
    <xf numFmtId="0" fontId="29" fillId="0" borderId="0" xfId="3" applyFont="1" applyAlignment="1">
      <alignment horizontal="left" vertical="center"/>
    </xf>
    <xf numFmtId="0" fontId="3" fillId="0" borderId="0" xfId="3" applyAlignment="1">
      <alignment horizontal="left" vertical="center"/>
    </xf>
    <xf numFmtId="0" fontId="75" fillId="0" borderId="1" xfId="3" applyFont="1" applyBorder="1" applyAlignment="1">
      <alignment vertical="center"/>
    </xf>
    <xf numFmtId="0" fontId="8" fillId="0" borderId="0" xfId="3" applyFont="1" applyAlignment="1">
      <alignment horizontal="center"/>
    </xf>
    <xf numFmtId="0" fontId="4" fillId="0" borderId="3" xfId="3" applyFont="1" applyBorder="1"/>
    <xf numFmtId="0" fontId="4" fillId="0" borderId="4" xfId="3" applyFont="1" applyBorder="1"/>
    <xf numFmtId="0" fontId="3" fillId="0" borderId="8" xfId="3" applyBorder="1" applyAlignment="1">
      <alignment horizontal="right"/>
    </xf>
    <xf numFmtId="0" fontId="4" fillId="0" borderId="9" xfId="3" applyFont="1" applyBorder="1" applyAlignment="1">
      <alignment horizontal="center"/>
    </xf>
    <xf numFmtId="0" fontId="4" fillId="0" borderId="9" xfId="3" applyFont="1" applyBorder="1" applyAlignment="1">
      <alignment horizontal="centerContinuous"/>
    </xf>
    <xf numFmtId="0" fontId="4" fillId="0" borderId="31" xfId="3" applyFont="1" applyBorder="1" applyAlignment="1">
      <alignment horizontal="center"/>
    </xf>
    <xf numFmtId="0" fontId="4" fillId="0" borderId="9" xfId="3" applyFont="1" applyBorder="1" applyAlignment="1" applyProtection="1">
      <alignment vertical="top" wrapText="1"/>
      <protection locked="0"/>
    </xf>
    <xf numFmtId="0" fontId="4" fillId="0" borderId="9" xfId="3" applyFont="1" applyBorder="1" applyAlignment="1" applyProtection="1">
      <alignment horizontal="center" vertical="top" wrapText="1"/>
      <protection locked="0"/>
    </xf>
    <xf numFmtId="0" fontId="53" fillId="0" borderId="0" xfId="3" applyFont="1" applyProtection="1">
      <protection locked="0"/>
    </xf>
    <xf numFmtId="0" fontId="55" fillId="4" borderId="30" xfId="3" applyFont="1" applyFill="1" applyBorder="1" applyAlignment="1" applyProtection="1">
      <alignment horizontal="center" vertical="center" wrapText="1"/>
      <protection locked="0"/>
    </xf>
    <xf numFmtId="0" fontId="55" fillId="4" borderId="43" xfId="3" applyFont="1" applyFill="1" applyBorder="1" applyAlignment="1" applyProtection="1">
      <alignment horizontal="center" vertical="center" wrapText="1"/>
      <protection locked="0"/>
    </xf>
    <xf numFmtId="0" fontId="55" fillId="4" borderId="42" xfId="3" applyFont="1" applyFill="1" applyBorder="1" applyAlignment="1" applyProtection="1">
      <alignment horizontal="center" vertical="center" wrapText="1"/>
      <protection locked="0"/>
    </xf>
    <xf numFmtId="0" fontId="55" fillId="4" borderId="33" xfId="3" applyFont="1" applyFill="1" applyBorder="1" applyAlignment="1" applyProtection="1">
      <alignment horizontal="center" vertical="center" wrapText="1"/>
      <protection locked="0"/>
    </xf>
    <xf numFmtId="0" fontId="57" fillId="0" borderId="23" xfId="3" applyFont="1" applyBorder="1" applyAlignment="1" applyProtection="1">
      <alignment horizontal="center"/>
      <protection locked="0"/>
    </xf>
    <xf numFmtId="0" fontId="3" fillId="0" borderId="23" xfId="3" applyBorder="1" applyProtection="1">
      <protection locked="0"/>
    </xf>
    <xf numFmtId="0" fontId="3" fillId="0" borderId="35" xfId="3" applyBorder="1" applyProtection="1">
      <protection locked="0"/>
    </xf>
    <xf numFmtId="0" fontId="3" fillId="0" borderId="32" xfId="3" applyBorder="1" applyProtection="1">
      <protection locked="0"/>
    </xf>
    <xf numFmtId="168" fontId="3" fillId="0" borderId="44" xfId="3" applyNumberFormat="1" applyBorder="1" applyProtection="1">
      <protection locked="0"/>
    </xf>
    <xf numFmtId="0" fontId="3" fillId="0" borderId="29" xfId="3" applyBorder="1" applyAlignment="1" applyProtection="1">
      <alignment wrapText="1"/>
      <protection locked="0"/>
    </xf>
    <xf numFmtId="14" fontId="3" fillId="0" borderId="44" xfId="3" applyNumberFormat="1" applyBorder="1" applyAlignment="1" applyProtection="1">
      <alignment horizontal="center"/>
      <protection locked="0"/>
    </xf>
    <xf numFmtId="0" fontId="3" fillId="0" borderId="32" xfId="3" applyBorder="1" applyAlignment="1" applyProtection="1">
      <alignment horizontal="center"/>
      <protection locked="0"/>
    </xf>
    <xf numFmtId="0" fontId="63" fillId="0" borderId="0" xfId="3" applyFont="1" applyAlignment="1" applyProtection="1">
      <alignment vertical="top" wrapText="1"/>
      <protection locked="0"/>
    </xf>
    <xf numFmtId="0" fontId="57" fillId="0" borderId="25" xfId="3" applyFont="1" applyBorder="1" applyAlignment="1" applyProtection="1">
      <alignment horizontal="center"/>
      <protection locked="0"/>
    </xf>
    <xf numFmtId="0" fontId="3" fillId="0" borderId="25" xfId="3" applyBorder="1" applyProtection="1">
      <protection locked="0"/>
    </xf>
    <xf numFmtId="0" fontId="3" fillId="0" borderId="34" xfId="3" applyBorder="1" applyProtection="1">
      <protection locked="0"/>
    </xf>
    <xf numFmtId="168" fontId="3" fillId="0" borderId="45" xfId="3" applyNumberFormat="1" applyBorder="1" applyProtection="1">
      <protection locked="0"/>
    </xf>
    <xf numFmtId="0" fontId="3" fillId="0" borderId="16" xfId="3" applyBorder="1" applyAlignment="1" applyProtection="1">
      <alignment wrapText="1"/>
      <protection locked="0"/>
    </xf>
    <xf numFmtId="0" fontId="3" fillId="0" borderId="45" xfId="3" applyBorder="1" applyAlignment="1" applyProtection="1">
      <alignment horizontal="center"/>
      <protection locked="0"/>
    </xf>
    <xf numFmtId="0" fontId="3" fillId="0" borderId="34" xfId="3" applyBorder="1" applyAlignment="1" applyProtection="1">
      <alignment horizontal="center"/>
      <protection locked="0"/>
    </xf>
    <xf numFmtId="0" fontId="62" fillId="0" borderId="0" xfId="3" applyFont="1"/>
    <xf numFmtId="14" fontId="3" fillId="0" borderId="45" xfId="3" applyNumberFormat="1" applyBorder="1" applyAlignment="1" applyProtection="1">
      <alignment horizontal="center"/>
      <protection locked="0"/>
    </xf>
    <xf numFmtId="0" fontId="57" fillId="0" borderId="46" xfId="3" applyFont="1" applyBorder="1" applyAlignment="1" applyProtection="1">
      <alignment horizontal="center"/>
      <protection locked="0"/>
    </xf>
    <xf numFmtId="0" fontId="3" fillId="0" borderId="46" xfId="3" applyBorder="1" applyProtection="1">
      <protection locked="0"/>
    </xf>
    <xf numFmtId="0" fontId="3" fillId="0" borderId="31" xfId="3" applyBorder="1" applyProtection="1">
      <protection locked="0"/>
    </xf>
    <xf numFmtId="0" fontId="3" fillId="0" borderId="38" xfId="3" applyBorder="1" applyProtection="1">
      <protection locked="0"/>
    </xf>
    <xf numFmtId="168" fontId="3" fillId="0" borderId="47" xfId="3" applyNumberFormat="1" applyBorder="1" applyProtection="1">
      <protection locked="0"/>
    </xf>
    <xf numFmtId="0" fontId="3" fillId="0" borderId="48" xfId="3" applyBorder="1" applyAlignment="1" applyProtection="1">
      <alignment wrapText="1"/>
      <protection locked="0"/>
    </xf>
    <xf numFmtId="0" fontId="3" fillId="0" borderId="47" xfId="3" applyBorder="1" applyAlignment="1" applyProtection="1">
      <alignment horizontal="center"/>
      <protection locked="0"/>
    </xf>
    <xf numFmtId="0" fontId="3" fillId="0" borderId="38" xfId="3" applyBorder="1" applyAlignment="1" applyProtection="1">
      <alignment horizontal="center"/>
      <protection locked="0"/>
    </xf>
    <xf numFmtId="0" fontId="3" fillId="0" borderId="0" xfId="3" applyAlignment="1" applyProtection="1">
      <alignment vertical="top" wrapText="1"/>
      <protection locked="0"/>
    </xf>
    <xf numFmtId="0" fontId="8" fillId="0" borderId="0" xfId="3" applyFont="1" applyAlignment="1">
      <alignment horizontal="centerContinuous"/>
    </xf>
    <xf numFmtId="0" fontId="19" fillId="0" borderId="0" xfId="3" applyFont="1"/>
    <xf numFmtId="0" fontId="4" fillId="0" borderId="2" xfId="3" applyFont="1" applyBorder="1" applyProtection="1">
      <protection locked="0"/>
    </xf>
    <xf numFmtId="0" fontId="4" fillId="0" borderId="3" xfId="3" applyFont="1" applyBorder="1" applyProtection="1">
      <protection locked="0"/>
    </xf>
    <xf numFmtId="0" fontId="4" fillId="0" borderId="4" xfId="3" applyFont="1" applyBorder="1" applyProtection="1">
      <protection locked="0"/>
    </xf>
    <xf numFmtId="0" fontId="29" fillId="0" borderId="2" xfId="3" applyFont="1" applyBorder="1" applyAlignment="1">
      <alignment horizontal="centerContinuous"/>
    </xf>
    <xf numFmtId="0" fontId="29" fillId="0" borderId="3" xfId="3" applyFont="1" applyBorder="1" applyAlignment="1">
      <alignment horizontal="centerContinuous"/>
    </xf>
    <xf numFmtId="0" fontId="29" fillId="0" borderId="4" xfId="3" applyFont="1" applyBorder="1" applyAlignment="1">
      <alignment horizontal="centerContinuous"/>
    </xf>
    <xf numFmtId="0" fontId="29" fillId="0" borderId="9" xfId="3" applyFont="1" applyBorder="1" applyAlignment="1">
      <alignment horizontal="center"/>
    </xf>
    <xf numFmtId="166" fontId="19" fillId="0" borderId="9" xfId="3" applyNumberFormat="1" applyFont="1" applyBorder="1" applyAlignment="1" applyProtection="1">
      <alignment horizontal="center"/>
      <protection locked="0"/>
    </xf>
    <xf numFmtId="0" fontId="19" fillId="0" borderId="9" xfId="3" applyFont="1" applyBorder="1" applyAlignment="1" applyProtection="1">
      <alignment horizontal="center"/>
      <protection locked="0"/>
    </xf>
    <xf numFmtId="165" fontId="3" fillId="0" borderId="9" xfId="3" quotePrefix="1" applyNumberFormat="1" applyBorder="1" applyAlignment="1" applyProtection="1">
      <alignment horizontal="center"/>
      <protection locked="0"/>
    </xf>
    <xf numFmtId="0" fontId="3" fillId="0" borderId="0" xfId="3" quotePrefix="1"/>
    <xf numFmtId="165" fontId="3" fillId="0" borderId="0" xfId="3" applyNumberFormat="1" applyAlignment="1" applyProtection="1">
      <alignment horizontal="center"/>
      <protection locked="0"/>
    </xf>
    <xf numFmtId="0" fontId="36" fillId="0" borderId="9" xfId="3" applyFont="1" applyBorder="1" applyAlignment="1">
      <alignment horizontal="center"/>
    </xf>
    <xf numFmtId="10" fontId="3" fillId="0" borderId="0" xfId="3" applyNumberFormat="1"/>
    <xf numFmtId="165" fontId="3" fillId="0" borderId="0" xfId="3" applyNumberFormat="1"/>
    <xf numFmtId="166" fontId="3" fillId="0" borderId="0" xfId="3" applyNumberFormat="1"/>
    <xf numFmtId="0" fontId="10" fillId="0" borderId="19" xfId="3" applyFont="1" applyBorder="1" applyAlignment="1">
      <alignment horizontal="centerContinuous"/>
    </xf>
    <xf numFmtId="0" fontId="4" fillId="0" borderId="16" xfId="3" applyFont="1" applyBorder="1" applyAlignment="1">
      <alignment horizontal="centerContinuous"/>
    </xf>
    <xf numFmtId="0" fontId="10" fillId="0" borderId="16" xfId="3" applyFont="1" applyBorder="1" applyAlignment="1">
      <alignment horizontal="centerContinuous"/>
    </xf>
    <xf numFmtId="165" fontId="3" fillId="0" borderId="16" xfId="3" applyNumberFormat="1" applyBorder="1" applyAlignment="1">
      <alignment horizontal="centerContinuous"/>
    </xf>
    <xf numFmtId="0" fontId="29" fillId="0" borderId="2" xfId="3" applyFont="1" applyBorder="1"/>
    <xf numFmtId="0" fontId="3" fillId="0" borderId="5" xfId="3" applyBorder="1" applyAlignment="1">
      <alignment horizontal="center"/>
    </xf>
    <xf numFmtId="0" fontId="3" fillId="0" borderId="5" xfId="3" applyBorder="1" applyAlignment="1">
      <alignment horizontal="right"/>
    </xf>
    <xf numFmtId="166" fontId="3" fillId="0" borderId="0" xfId="3" applyNumberFormat="1" applyAlignment="1">
      <alignment horizontal="left"/>
    </xf>
    <xf numFmtId="165" fontId="3" fillId="0" borderId="1" xfId="3" applyNumberFormat="1" applyBorder="1" applyAlignment="1">
      <alignment horizontal="left"/>
    </xf>
    <xf numFmtId="165" fontId="3" fillId="0" borderId="0" xfId="3" applyNumberFormat="1" applyAlignment="1">
      <alignment horizontal="left"/>
    </xf>
    <xf numFmtId="0" fontId="29" fillId="0" borderId="5" xfId="3" applyFont="1" applyBorder="1"/>
    <xf numFmtId="0" fontId="10" fillId="0" borderId="0" xfId="3" applyFont="1"/>
    <xf numFmtId="0" fontId="25" fillId="0" borderId="0" xfId="3" applyFont="1"/>
    <xf numFmtId="0" fontId="19" fillId="0" borderId="0" xfId="3" applyFont="1" applyProtection="1">
      <protection locked="0"/>
    </xf>
    <xf numFmtId="0" fontId="19" fillId="0" borderId="0" xfId="3" applyFont="1" applyAlignment="1">
      <alignment horizontal="center"/>
    </xf>
    <xf numFmtId="0" fontId="29" fillId="0" borderId="9" xfId="3" applyFont="1" applyBorder="1" applyAlignment="1">
      <alignment horizontal="center" wrapText="1"/>
    </xf>
    <xf numFmtId="0" fontId="37" fillId="0" borderId="0" xfId="3" applyFont="1"/>
    <xf numFmtId="0" fontId="29" fillId="0" borderId="0" xfId="3" applyFont="1" applyAlignment="1">
      <alignment horizontal="center"/>
    </xf>
    <xf numFmtId="0" fontId="29" fillId="0" borderId="0" xfId="3" applyFont="1" applyAlignment="1">
      <alignment horizontal="center" vertical="center"/>
    </xf>
    <xf numFmtId="0" fontId="29" fillId="0" borderId="4" xfId="3" applyFont="1" applyBorder="1" applyAlignment="1">
      <alignment horizontal="center"/>
    </xf>
    <xf numFmtId="0" fontId="3" fillId="0" borderId="2" xfId="3" applyBorder="1" applyAlignment="1">
      <alignment horizontal="left"/>
    </xf>
    <xf numFmtId="0" fontId="3" fillId="0" borderId="3" xfId="3" applyBorder="1" applyAlignment="1">
      <alignment horizontal="left"/>
    </xf>
    <xf numFmtId="0" fontId="3" fillId="0" borderId="4" xfId="3" applyBorder="1" applyAlignment="1">
      <alignment horizontal="center"/>
    </xf>
    <xf numFmtId="0" fontId="3" fillId="0" borderId="22" xfId="3" applyBorder="1" applyAlignment="1">
      <alignment horizontal="center"/>
    </xf>
    <xf numFmtId="0" fontId="29" fillId="0" borderId="8" xfId="3" applyFont="1" applyBorder="1" applyAlignment="1">
      <alignment horizontal="center"/>
    </xf>
    <xf numFmtId="0" fontId="3" fillId="0" borderId="7" xfId="3" applyBorder="1" applyAlignment="1">
      <alignment horizontal="left"/>
    </xf>
    <xf numFmtId="0" fontId="3" fillId="0" borderId="8" xfId="3" applyBorder="1" applyAlignment="1">
      <alignment horizontal="center"/>
    </xf>
    <xf numFmtId="167" fontId="3" fillId="0" borderId="21" xfId="3" applyNumberFormat="1" applyBorder="1" applyAlignment="1">
      <alignment horizontal="center"/>
    </xf>
    <xf numFmtId="168" fontId="3" fillId="0" borderId="0" xfId="3" applyNumberFormat="1" applyAlignment="1">
      <alignment horizontal="center"/>
    </xf>
    <xf numFmtId="2" fontId="3" fillId="0" borderId="0" xfId="3" applyNumberFormat="1" applyAlignment="1">
      <alignment horizontal="center"/>
    </xf>
    <xf numFmtId="0" fontId="3" fillId="0" borderId="7" xfId="3" applyBorder="1" applyAlignment="1">
      <alignment horizontal="center"/>
    </xf>
    <xf numFmtId="0" fontId="3" fillId="0" borderId="9" xfId="3" quotePrefix="1" applyBorder="1" applyAlignment="1">
      <alignment horizontal="center"/>
    </xf>
    <xf numFmtId="0" fontId="4" fillId="0" borderId="0" xfId="3" quotePrefix="1" applyFont="1" applyAlignment="1">
      <alignment horizontal="center"/>
    </xf>
    <xf numFmtId="9" fontId="3" fillId="0" borderId="9" xfId="3" quotePrefix="1" applyNumberFormat="1" applyBorder="1" applyAlignment="1">
      <alignment horizontal="center"/>
    </xf>
    <xf numFmtId="9" fontId="29" fillId="0" borderId="9" xfId="3" applyNumberFormat="1" applyFont="1" applyBorder="1" applyAlignment="1">
      <alignment horizontal="center"/>
    </xf>
    <xf numFmtId="9" fontId="3" fillId="0" borderId="5" xfId="3" applyNumberFormat="1" applyBorder="1" applyAlignment="1">
      <alignment horizontal="center"/>
    </xf>
    <xf numFmtId="9" fontId="29" fillId="0" borderId="5" xfId="3" applyNumberFormat="1" applyFont="1" applyBorder="1"/>
    <xf numFmtId="9" fontId="3" fillId="0" borderId="5" xfId="3" applyNumberFormat="1" applyBorder="1"/>
    <xf numFmtId="0" fontId="4" fillId="0" borderId="5" xfId="3" applyFont="1" applyBorder="1" applyAlignment="1">
      <alignment horizontal="center"/>
    </xf>
    <xf numFmtId="0" fontId="3" fillId="0" borderId="6" xfId="3" applyBorder="1" applyAlignment="1">
      <alignment horizontal="center"/>
    </xf>
    <xf numFmtId="0" fontId="24" fillId="0" borderId="1" xfId="3" applyFont="1" applyBorder="1" applyAlignment="1">
      <alignment horizontal="center"/>
    </xf>
    <xf numFmtId="0" fontId="24" fillId="0" borderId="8" xfId="3" applyFont="1" applyBorder="1" applyAlignment="1">
      <alignment horizontal="center"/>
    </xf>
    <xf numFmtId="166" fontId="3" fillId="0" borderId="9" xfId="3" applyNumberFormat="1" applyBorder="1" applyAlignment="1">
      <alignment horizontal="center"/>
    </xf>
    <xf numFmtId="0" fontId="29" fillId="0" borderId="17" xfId="3" applyFont="1" applyBorder="1" applyAlignment="1">
      <alignment horizontal="center"/>
    </xf>
    <xf numFmtId="0" fontId="3" fillId="0" borderId="17" xfId="3" applyBorder="1" applyAlignment="1">
      <alignment horizontal="center"/>
    </xf>
    <xf numFmtId="0" fontId="4" fillId="0" borderId="3" xfId="3" applyFont="1" applyBorder="1" applyAlignment="1">
      <alignment horizontal="centerContinuous"/>
    </xf>
    <xf numFmtId="0" fontId="4" fillId="0" borderId="4" xfId="3" applyFont="1" applyBorder="1" applyAlignment="1">
      <alignment horizontal="centerContinuous"/>
    </xf>
    <xf numFmtId="0" fontId="21" fillId="0" borderId="0" xfId="3" quotePrefix="1" applyFont="1" applyAlignment="1">
      <alignment horizontal="right"/>
    </xf>
    <xf numFmtId="0" fontId="29" fillId="0" borderId="30" xfId="3" applyFont="1" applyBorder="1"/>
    <xf numFmtId="0" fontId="3" fillId="0" borderId="10" xfId="3" applyBorder="1"/>
    <xf numFmtId="0" fontId="29" fillId="0" borderId="37" xfId="3" applyFont="1" applyBorder="1" applyAlignment="1">
      <alignment horizontal="centerContinuous" vertical="center"/>
    </xf>
    <xf numFmtId="0" fontId="29" fillId="0" borderId="29" xfId="3" applyFont="1" applyBorder="1" applyAlignment="1">
      <alignment horizontal="centerContinuous"/>
    </xf>
    <xf numFmtId="0" fontId="29" fillId="0" borderId="24" xfId="3" applyFont="1" applyBorder="1" applyAlignment="1">
      <alignment horizontal="centerContinuous"/>
    </xf>
    <xf numFmtId="0" fontId="29" fillId="0" borderId="36" xfId="3" applyFont="1" applyBorder="1" applyAlignment="1">
      <alignment horizontal="centerContinuous"/>
    </xf>
    <xf numFmtId="0" fontId="3" fillId="0" borderId="33" xfId="3" applyBorder="1" applyAlignment="1">
      <alignment horizontal="centerContinuous"/>
    </xf>
    <xf numFmtId="0" fontId="4" fillId="0" borderId="23" xfId="3" applyFont="1" applyBorder="1"/>
    <xf numFmtId="0" fontId="4" fillId="0" borderId="29" xfId="3" applyFont="1" applyBorder="1"/>
    <xf numFmtId="0" fontId="10" fillId="0" borderId="29" xfId="3" applyFont="1" applyBorder="1" applyAlignment="1">
      <alignment horizontal="center"/>
    </xf>
    <xf numFmtId="0" fontId="4" fillId="0" borderId="24" xfId="3" applyFont="1" applyBorder="1"/>
    <xf numFmtId="0" fontId="10" fillId="0" borderId="37" xfId="3" applyFont="1" applyBorder="1" applyAlignment="1">
      <alignment horizontal="centerContinuous"/>
    </xf>
    <xf numFmtId="0" fontId="10" fillId="0" borderId="29" xfId="3" applyFont="1" applyBorder="1" applyAlignment="1">
      <alignment horizontal="centerContinuous"/>
    </xf>
    <xf numFmtId="0" fontId="3" fillId="0" borderId="29" xfId="3" applyBorder="1" applyAlignment="1">
      <alignment horizontal="centerContinuous"/>
    </xf>
    <xf numFmtId="0" fontId="3" fillId="0" borderId="32" xfId="3" applyBorder="1" applyAlignment="1">
      <alignment horizontal="centerContinuous"/>
    </xf>
    <xf numFmtId="0" fontId="29" fillId="0" borderId="27" xfId="3" applyFont="1" applyBorder="1"/>
    <xf numFmtId="0" fontId="3" fillId="0" borderId="18" xfId="3" applyBorder="1"/>
    <xf numFmtId="0" fontId="29" fillId="0" borderId="31" xfId="3" applyFont="1" applyBorder="1" applyAlignment="1">
      <alignment horizontal="center"/>
    </xf>
    <xf numFmtId="0" fontId="3" fillId="0" borderId="28" xfId="3" applyBorder="1"/>
    <xf numFmtId="0" fontId="3" fillId="0" borderId="14" xfId="3" applyBorder="1"/>
    <xf numFmtId="0" fontId="29" fillId="0" borderId="39" xfId="3" applyFont="1" applyBorder="1"/>
    <xf numFmtId="0" fontId="3" fillId="0" borderId="40" xfId="3" applyBorder="1"/>
    <xf numFmtId="0" fontId="3" fillId="0" borderId="23" xfId="3" applyBorder="1"/>
    <xf numFmtId="0" fontId="3" fillId="0" borderId="24" xfId="3" applyBorder="1" applyAlignment="1">
      <alignment horizontal="center"/>
    </xf>
    <xf numFmtId="2" fontId="19" fillId="0" borderId="35" xfId="3" applyNumberFormat="1" applyFont="1" applyBorder="1" applyAlignment="1" applyProtection="1">
      <alignment horizontal="center"/>
      <protection locked="0"/>
    </xf>
    <xf numFmtId="0" fontId="3" fillId="0" borderId="29" xfId="3" applyBorder="1"/>
    <xf numFmtId="165" fontId="3" fillId="0" borderId="32" xfId="3" applyNumberFormat="1" applyBorder="1" applyAlignment="1">
      <alignment horizontal="center"/>
    </xf>
    <xf numFmtId="0" fontId="3" fillId="0" borderId="11" xfId="3" applyBorder="1" applyAlignment="1">
      <alignment horizontal="center"/>
    </xf>
    <xf numFmtId="0" fontId="31" fillId="0" borderId="0" xfId="3" applyFont="1"/>
    <xf numFmtId="0" fontId="3" fillId="0" borderId="12" xfId="3" applyBorder="1"/>
    <xf numFmtId="164" fontId="3" fillId="0" borderId="25" xfId="3" applyNumberFormat="1" applyBorder="1" applyAlignment="1">
      <alignment horizontal="left"/>
    </xf>
    <xf numFmtId="2" fontId="19" fillId="0" borderId="9" xfId="3" applyNumberFormat="1" applyFont="1" applyBorder="1" applyAlignment="1" applyProtection="1">
      <alignment horizontal="center"/>
      <protection locked="0"/>
    </xf>
    <xf numFmtId="165" fontId="3" fillId="0" borderId="15" xfId="3" applyNumberFormat="1" applyBorder="1" applyAlignment="1">
      <alignment horizontal="center"/>
    </xf>
    <xf numFmtId="0" fontId="3" fillId="0" borderId="11" xfId="3" applyBorder="1"/>
    <xf numFmtId="164" fontId="3" fillId="0" borderId="26" xfId="3" quotePrefix="1" applyNumberFormat="1" applyBorder="1" applyAlignment="1">
      <alignment horizontal="left"/>
    </xf>
    <xf numFmtId="0" fontId="3" fillId="0" borderId="26" xfId="3" applyBorder="1"/>
    <xf numFmtId="2" fontId="3" fillId="0" borderId="1" xfId="3" applyNumberFormat="1" applyBorder="1" applyAlignment="1">
      <alignment horizontal="left"/>
    </xf>
    <xf numFmtId="0" fontId="3" fillId="0" borderId="15" xfId="3" applyBorder="1"/>
    <xf numFmtId="2" fontId="3" fillId="0" borderId="9" xfId="3" applyNumberFormat="1" applyBorder="1" applyAlignment="1">
      <alignment horizontal="center"/>
    </xf>
    <xf numFmtId="0" fontId="31" fillId="0" borderId="7" xfId="3" applyFont="1" applyBorder="1" applyAlignment="1">
      <alignment horizontal="center"/>
    </xf>
    <xf numFmtId="164" fontId="3" fillId="0" borderId="27" xfId="3" quotePrefix="1" applyNumberFormat="1" applyBorder="1" applyAlignment="1">
      <alignment horizontal="left"/>
    </xf>
    <xf numFmtId="0" fontId="3" fillId="0" borderId="18" xfId="3" applyBorder="1" applyAlignment="1">
      <alignment horizontal="center"/>
    </xf>
    <xf numFmtId="2" fontId="3" fillId="0" borderId="31" xfId="3" applyNumberFormat="1" applyBorder="1" applyAlignment="1">
      <alignment horizontal="center"/>
    </xf>
    <xf numFmtId="0" fontId="31" fillId="0" borderId="28" xfId="3" applyFont="1" applyBorder="1" applyAlignment="1">
      <alignment horizontal="center"/>
    </xf>
    <xf numFmtId="165" fontId="3" fillId="0" borderId="0" xfId="3" quotePrefix="1" applyNumberFormat="1" applyAlignment="1">
      <alignment horizontal="left"/>
    </xf>
    <xf numFmtId="2" fontId="3" fillId="0" borderId="0" xfId="3" applyNumberFormat="1" applyAlignment="1">
      <alignment horizontal="left"/>
    </xf>
    <xf numFmtId="0" fontId="17" fillId="0" borderId="9" xfId="3" applyFont="1" applyBorder="1" applyAlignment="1">
      <alignment horizontal="center"/>
    </xf>
    <xf numFmtId="166" fontId="3" fillId="0" borderId="6" xfId="3" applyNumberFormat="1" applyBorder="1" applyAlignment="1">
      <alignment horizontal="center"/>
    </xf>
    <xf numFmtId="0" fontId="22" fillId="0" borderId="5" xfId="3" applyFont="1" applyBorder="1" applyAlignment="1">
      <alignment horizontal="centerContinuous"/>
    </xf>
    <xf numFmtId="2" fontId="3" fillId="0" borderId="0" xfId="3" applyNumberFormat="1" applyAlignment="1">
      <alignment horizontal="centerContinuous"/>
    </xf>
    <xf numFmtId="0" fontId="3" fillId="0" borderId="12" xfId="3" applyBorder="1" applyAlignment="1">
      <alignment horizontal="centerContinuous"/>
    </xf>
    <xf numFmtId="164" fontId="3" fillId="0" borderId="30" xfId="3" applyNumberFormat="1" applyBorder="1" applyAlignment="1">
      <alignment horizontal="left"/>
    </xf>
    <xf numFmtId="2" fontId="3" fillId="0" borderId="10" xfId="3" applyNumberFormat="1" applyBorder="1"/>
    <xf numFmtId="0" fontId="31" fillId="0" borderId="36" xfId="3" applyFont="1" applyBorder="1" applyAlignment="1">
      <alignment horizontal="center"/>
    </xf>
    <xf numFmtId="165" fontId="3" fillId="0" borderId="33" xfId="3" applyNumberFormat="1" applyBorder="1" applyAlignment="1">
      <alignment horizontal="center"/>
    </xf>
    <xf numFmtId="164" fontId="3" fillId="0" borderId="27" xfId="3" applyNumberFormat="1" applyBorder="1" applyAlignment="1">
      <alignment horizontal="left"/>
    </xf>
    <xf numFmtId="2" fontId="3" fillId="0" borderId="18" xfId="3" applyNumberFormat="1" applyBorder="1" applyAlignment="1">
      <alignment horizontal="center"/>
    </xf>
    <xf numFmtId="0" fontId="3" fillId="0" borderId="28" xfId="3" applyBorder="1" applyAlignment="1">
      <alignment horizontal="center"/>
    </xf>
    <xf numFmtId="165" fontId="3" fillId="0" borderId="14" xfId="3" applyNumberFormat="1" applyBorder="1" applyAlignment="1">
      <alignment horizontal="center"/>
    </xf>
    <xf numFmtId="0" fontId="3" fillId="0" borderId="26" xfId="3" applyBorder="1" applyAlignment="1">
      <alignment horizontal="center"/>
    </xf>
    <xf numFmtId="2" fontId="3" fillId="0" borderId="0" xfId="3" quotePrefix="1" applyNumberFormat="1" applyAlignment="1">
      <alignment horizontal="left"/>
    </xf>
    <xf numFmtId="164" fontId="3" fillId="0" borderId="23" xfId="3" quotePrefix="1" applyNumberFormat="1" applyBorder="1" applyAlignment="1">
      <alignment horizontal="left"/>
    </xf>
    <xf numFmtId="0" fontId="31" fillId="0" borderId="37" xfId="3" applyFont="1" applyBorder="1" applyAlignment="1">
      <alignment horizontal="center"/>
    </xf>
    <xf numFmtId="164" fontId="3" fillId="0" borderId="25" xfId="3" quotePrefix="1" applyNumberFormat="1" applyBorder="1" applyAlignment="1">
      <alignment horizontal="left"/>
    </xf>
    <xf numFmtId="0" fontId="30" fillId="0" borderId="16" xfId="3" applyFont="1" applyBorder="1"/>
    <xf numFmtId="0" fontId="31" fillId="0" borderId="7" xfId="3" applyFont="1" applyBorder="1" applyAlignment="1">
      <alignment horizontal="left"/>
    </xf>
    <xf numFmtId="165" fontId="3" fillId="0" borderId="34" xfId="3" applyNumberFormat="1" applyBorder="1" applyAlignment="1">
      <alignment horizontal="center"/>
    </xf>
    <xf numFmtId="0" fontId="21" fillId="0" borderId="1" xfId="3" applyFont="1" applyBorder="1"/>
    <xf numFmtId="0" fontId="21" fillId="0" borderId="16" xfId="3" applyFont="1" applyBorder="1"/>
    <xf numFmtId="0" fontId="21" fillId="0" borderId="16" xfId="3" quotePrefix="1" applyFont="1" applyBorder="1" applyAlignment="1">
      <alignment horizontal="center"/>
    </xf>
    <xf numFmtId="0" fontId="3" fillId="0" borderId="19" xfId="3" applyBorder="1" applyAlignment="1">
      <alignment horizontal="left"/>
    </xf>
    <xf numFmtId="0" fontId="3" fillId="0" borderId="0" xfId="3" quotePrefix="1" applyAlignment="1">
      <alignment horizontal="center"/>
    </xf>
    <xf numFmtId="166" fontId="3" fillId="0" borderId="8" xfId="3" applyNumberFormat="1" applyBorder="1" applyAlignment="1">
      <alignment horizontal="center"/>
    </xf>
    <xf numFmtId="1" fontId="3" fillId="0" borderId="0" xfId="3" applyNumberFormat="1"/>
    <xf numFmtId="0" fontId="3" fillId="0" borderId="39" xfId="3" applyBorder="1"/>
    <xf numFmtId="1" fontId="3" fillId="0" borderId="0" xfId="3" quotePrefix="1" applyNumberFormat="1" applyAlignment="1">
      <alignment horizontal="left"/>
    </xf>
    <xf numFmtId="0" fontId="4" fillId="0" borderId="11" xfId="3" applyFont="1" applyBorder="1"/>
    <xf numFmtId="0" fontId="3" fillId="0" borderId="1" xfId="3" quotePrefix="1" applyBorder="1" applyAlignment="1">
      <alignment horizontal="center"/>
    </xf>
    <xf numFmtId="0" fontId="3" fillId="0" borderId="27" xfId="3" applyBorder="1"/>
    <xf numFmtId="0" fontId="4" fillId="0" borderId="13" xfId="3" applyFont="1" applyBorder="1"/>
    <xf numFmtId="0" fontId="3" fillId="0" borderId="13" xfId="3" applyBorder="1"/>
    <xf numFmtId="0" fontId="29" fillId="0" borderId="16" xfId="3"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1" xfId="0" applyFont="1" applyBorder="1" applyAlignment="1">
      <alignment horizontal="center"/>
    </xf>
    <xf numFmtId="0" fontId="3" fillId="0" borderId="8" xfId="0" applyFont="1" applyBorder="1" applyAlignment="1">
      <alignment horizontal="center"/>
    </xf>
    <xf numFmtId="2" fontId="3" fillId="0" borderId="0" xfId="3" applyNumberFormat="1"/>
    <xf numFmtId="0" fontId="29" fillId="0" borderId="37" xfId="3" applyFont="1" applyBorder="1" applyAlignment="1">
      <alignment horizontal="centerContinuous"/>
    </xf>
    <xf numFmtId="0" fontId="3" fillId="0" borderId="6" xfId="3" quotePrefix="1" applyBorder="1"/>
    <xf numFmtId="2" fontId="3" fillId="0" borderId="0" xfId="3" quotePrefix="1" applyNumberFormat="1"/>
    <xf numFmtId="0" fontId="38" fillId="0" borderId="0" xfId="3" applyFont="1"/>
    <xf numFmtId="0" fontId="29" fillId="0" borderId="16" xfId="3" applyFont="1" applyBorder="1"/>
    <xf numFmtId="0" fontId="39" fillId="0" borderId="0" xfId="3" applyFont="1" applyAlignment="1">
      <alignment horizontal="left"/>
    </xf>
    <xf numFmtId="0" fontId="39" fillId="0" borderId="1" xfId="3" applyFont="1" applyBorder="1"/>
    <xf numFmtId="0" fontId="4" fillId="0" borderId="3" xfId="3" applyFont="1" applyBorder="1" applyAlignment="1">
      <alignment horizontal="left"/>
    </xf>
    <xf numFmtId="0" fontId="29" fillId="0" borderId="1" xfId="0" applyFont="1" applyBorder="1" applyAlignment="1">
      <alignment horizontal="center"/>
    </xf>
    <xf numFmtId="0" fontId="0" fillId="0" borderId="6" xfId="0" applyBorder="1" applyProtection="1">
      <protection locked="0"/>
    </xf>
    <xf numFmtId="0" fontId="23" fillId="0" borderId="0" xfId="0" applyFont="1"/>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3" fillId="0" borderId="0" xfId="0" applyFont="1"/>
    <xf numFmtId="0" fontId="68" fillId="0" borderId="9" xfId="0" applyFont="1" applyBorder="1" applyAlignment="1">
      <alignment horizontal="center"/>
    </xf>
    <xf numFmtId="0" fontId="68" fillId="0" borderId="51" xfId="0" applyFont="1" applyBorder="1"/>
    <xf numFmtId="0" fontId="68" fillId="0" borderId="9" xfId="0" applyFont="1" applyBorder="1"/>
    <xf numFmtId="0" fontId="68" fillId="0" borderId="52" xfId="0" applyFont="1" applyBorder="1" applyAlignment="1">
      <alignment horizontal="center"/>
    </xf>
    <xf numFmtId="0" fontId="0" fillId="0" borderId="51" xfId="0" applyBorder="1" applyProtection="1">
      <protection locked="0"/>
    </xf>
    <xf numFmtId="0" fontId="0" fillId="0" borderId="52" xfId="0" applyBorder="1" applyProtection="1">
      <protection locked="0"/>
    </xf>
    <xf numFmtId="0" fontId="0" fillId="0" borderId="53" xfId="0" applyBorder="1" applyProtection="1">
      <protection locked="0"/>
    </xf>
    <xf numFmtId="0" fontId="0" fillId="0" borderId="31" xfId="0" applyBorder="1" applyProtection="1">
      <protection locked="0"/>
    </xf>
    <xf numFmtId="0" fontId="0" fillId="0" borderId="54" xfId="0" applyBorder="1" applyProtection="1">
      <protection locked="0"/>
    </xf>
    <xf numFmtId="0" fontId="64" fillId="0" borderId="0" xfId="0" applyFont="1" applyAlignment="1">
      <alignment horizontal="center" vertical="center" wrapText="1"/>
    </xf>
    <xf numFmtId="0" fontId="65" fillId="0" borderId="0" xfId="0" applyFont="1" applyAlignment="1">
      <alignment horizontal="center" vertical="center"/>
    </xf>
    <xf numFmtId="0" fontId="27" fillId="0" borderId="11" xfId="0" applyFont="1" applyBorder="1"/>
    <xf numFmtId="0" fontId="9" fillId="0" borderId="27" xfId="0" applyFont="1" applyBorder="1"/>
    <xf numFmtId="0" fontId="27" fillId="0" borderId="28" xfId="0" applyFont="1" applyBorder="1" applyProtection="1">
      <protection locked="0"/>
    </xf>
    <xf numFmtId="0" fontId="0" fillId="0" borderId="13" xfId="0" applyBorder="1" applyProtection="1">
      <protection locked="0"/>
    </xf>
    <xf numFmtId="0" fontId="0" fillId="0" borderId="14" xfId="0" applyBorder="1" applyProtection="1">
      <protection locked="0"/>
    </xf>
    <xf numFmtId="0" fontId="27" fillId="0" borderId="0" xfId="0" applyFont="1"/>
    <xf numFmtId="0" fontId="4" fillId="0" borderId="5" xfId="0" applyFont="1" applyBorder="1"/>
    <xf numFmtId="0" fontId="4" fillId="0" borderId="30" xfId="0" applyFont="1" applyBorder="1"/>
    <xf numFmtId="0" fontId="27" fillId="0" borderId="42" xfId="0" applyFont="1" applyBorder="1"/>
    <xf numFmtId="0" fontId="4" fillId="0" borderId="36" xfId="0" applyFont="1" applyBorder="1"/>
    <xf numFmtId="0" fontId="4" fillId="0" borderId="42" xfId="0" applyFont="1" applyBorder="1"/>
    <xf numFmtId="0" fontId="65" fillId="0" borderId="0" xfId="0" applyFont="1" applyAlignment="1">
      <alignment vertical="center"/>
    </xf>
    <xf numFmtId="0" fontId="0" fillId="0" borderId="25" xfId="0" applyBorder="1" applyProtection="1">
      <protection locked="0"/>
    </xf>
    <xf numFmtId="0" fontId="0" fillId="0" borderId="17" xfId="0" applyBorder="1" applyProtection="1">
      <protection locked="0"/>
    </xf>
    <xf numFmtId="0" fontId="68" fillId="0" borderId="51" xfId="0" applyFont="1" applyBorder="1" applyAlignment="1">
      <alignment horizontal="center"/>
    </xf>
    <xf numFmtId="0" fontId="0" fillId="0" borderId="39" xfId="0" applyBorder="1" applyProtection="1">
      <protection locked="0"/>
    </xf>
    <xf numFmtId="0" fontId="0" fillId="0" borderId="55" xfId="0" applyBorder="1" applyProtection="1">
      <protection locked="0"/>
    </xf>
    <xf numFmtId="0" fontId="0" fillId="0" borderId="22" xfId="0" applyBorder="1" applyProtection="1">
      <protection locked="0"/>
    </xf>
    <xf numFmtId="0" fontId="0" fillId="0" borderId="56" xfId="0" applyBorder="1" applyProtection="1">
      <protection locked="0"/>
    </xf>
    <xf numFmtId="0" fontId="0" fillId="0" borderId="4" xfId="0" applyBorder="1" applyProtection="1">
      <protection locked="0"/>
    </xf>
    <xf numFmtId="0" fontId="68" fillId="0" borderId="52" xfId="0" applyFont="1" applyBorder="1"/>
    <xf numFmtId="0" fontId="69" fillId="0" borderId="0" xfId="0" applyFont="1" applyAlignment="1">
      <alignment vertical="center" wrapText="1"/>
    </xf>
    <xf numFmtId="0" fontId="69" fillId="0" borderId="0" xfId="0" applyFont="1" applyAlignment="1">
      <alignment vertical="center"/>
    </xf>
    <xf numFmtId="0" fontId="46" fillId="2" borderId="0" xfId="2" applyFont="1" applyFill="1" applyAlignment="1">
      <alignment vertical="top" wrapText="1"/>
    </xf>
    <xf numFmtId="0" fontId="3" fillId="0" borderId="49" xfId="0" applyFont="1" applyBorder="1" applyAlignment="1">
      <alignment horizontal="center"/>
    </xf>
    <xf numFmtId="0" fontId="3" fillId="0" borderId="0" xfId="0" applyFont="1" applyAlignment="1">
      <alignment wrapText="1"/>
    </xf>
    <xf numFmtId="0" fontId="3" fillId="0" borderId="0" xfId="0" applyFont="1" applyAlignment="1">
      <alignment vertical="center"/>
    </xf>
    <xf numFmtId="0" fontId="3" fillId="0" borderId="1" xfId="0" applyFont="1" applyBorder="1"/>
    <xf numFmtId="0" fontId="3" fillId="0" borderId="16" xfId="0" applyFont="1" applyBorder="1"/>
    <xf numFmtId="0" fontId="3" fillId="0" borderId="30" xfId="0" applyFont="1" applyBorder="1"/>
    <xf numFmtId="0" fontId="3" fillId="0" borderId="42" xfId="0" applyFont="1" applyBorder="1"/>
    <xf numFmtId="0" fontId="3" fillId="0" borderId="33" xfId="0" applyFont="1" applyBorder="1"/>
    <xf numFmtId="0" fontId="3" fillId="0" borderId="11" xfId="0" applyFont="1" applyBorder="1"/>
    <xf numFmtId="0" fontId="3" fillId="0" borderId="12" xfId="0" applyFont="1" applyBorder="1"/>
    <xf numFmtId="0" fontId="3" fillId="0" borderId="27" xfId="0" applyFont="1" applyBorder="1"/>
    <xf numFmtId="0" fontId="3" fillId="0" borderId="13" xfId="0" applyFont="1" applyBorder="1"/>
    <xf numFmtId="0" fontId="3" fillId="0" borderId="14" xfId="0" applyFont="1" applyBorder="1"/>
    <xf numFmtId="14" fontId="3" fillId="0" borderId="0" xfId="0" applyNumberFormat="1" applyFont="1"/>
    <xf numFmtId="0" fontId="4" fillId="0" borderId="1" xfId="0" applyFont="1" applyBorder="1"/>
    <xf numFmtId="0" fontId="70" fillId="0" borderId="3" xfId="0" applyFont="1" applyBorder="1"/>
    <xf numFmtId="0" fontId="70" fillId="0" borderId="0" xfId="0" applyFont="1"/>
    <xf numFmtId="0" fontId="0" fillId="0" borderId="0" xfId="0" applyAlignment="1">
      <alignment horizontal="center" vertical="center"/>
    </xf>
    <xf numFmtId="169" fontId="27" fillId="0" borderId="57" xfId="0" applyNumberFormat="1" applyFont="1" applyBorder="1" applyAlignment="1" applyProtection="1">
      <alignment horizontal="center"/>
      <protection locked="0"/>
    </xf>
    <xf numFmtId="169" fontId="27" fillId="0" borderId="58" xfId="0" applyNumberFormat="1" applyFont="1" applyBorder="1" applyAlignment="1" applyProtection="1">
      <alignment horizontal="center"/>
      <protection locked="0"/>
    </xf>
    <xf numFmtId="169" fontId="27" fillId="0" borderId="59" xfId="0" applyNumberFormat="1" applyFont="1" applyBorder="1" applyAlignment="1" applyProtection="1">
      <alignment horizontal="center"/>
      <protection locked="0"/>
    </xf>
    <xf numFmtId="166" fontId="27" fillId="0" borderId="57" xfId="0" applyNumberFormat="1" applyFont="1" applyBorder="1" applyAlignment="1" applyProtection="1">
      <alignment horizontal="center"/>
      <protection locked="0"/>
    </xf>
    <xf numFmtId="166" fontId="27" fillId="0" borderId="59" xfId="0" applyNumberFormat="1" applyFont="1" applyBorder="1" applyAlignment="1" applyProtection="1">
      <alignment horizontal="center"/>
      <protection locked="0"/>
    </xf>
    <xf numFmtId="166" fontId="27" fillId="0" borderId="58" xfId="0" applyNumberFormat="1" applyFont="1" applyBorder="1" applyAlignment="1" applyProtection="1">
      <alignment horizontal="center"/>
      <protection locked="0"/>
    </xf>
    <xf numFmtId="0" fontId="3" fillId="0" borderId="50" xfId="0" applyFont="1" applyBorder="1" applyAlignment="1">
      <alignment horizontal="center"/>
    </xf>
    <xf numFmtId="0" fontId="72" fillId="0" borderId="9" xfId="1" applyFill="1" applyBorder="1" applyAlignment="1" applyProtection="1">
      <alignment horizontal="center" vertical="center" wrapText="1"/>
    </xf>
    <xf numFmtId="0" fontId="4" fillId="0" borderId="9" xfId="4" applyFont="1" applyBorder="1" applyAlignment="1">
      <alignment horizontal="left" vertical="top" wrapText="1"/>
    </xf>
    <xf numFmtId="49" fontId="72" fillId="0" borderId="9" xfId="1" applyNumberFormat="1" applyFill="1" applyBorder="1" applyAlignment="1" applyProtection="1">
      <alignment horizontal="center" vertical="center" wrapText="1"/>
    </xf>
    <xf numFmtId="0" fontId="3" fillId="0" borderId="0" xfId="3" applyAlignment="1">
      <alignment horizontal="left" vertical="top"/>
    </xf>
    <xf numFmtId="0" fontId="3" fillId="0" borderId="0" xfId="3" applyAlignment="1">
      <alignment wrapText="1"/>
    </xf>
    <xf numFmtId="0" fontId="23" fillId="0" borderId="0" xfId="3" applyFont="1" applyAlignment="1">
      <alignment vertical="center"/>
    </xf>
    <xf numFmtId="0" fontId="23" fillId="0" borderId="1" xfId="3" applyFont="1" applyBorder="1" applyAlignment="1">
      <alignment vertical="center"/>
    </xf>
    <xf numFmtId="0" fontId="78" fillId="0" borderId="8" xfId="3" applyFont="1" applyBorder="1" applyAlignment="1">
      <alignment vertical="center" wrapText="1"/>
    </xf>
    <xf numFmtId="0" fontId="78" fillId="0" borderId="1" xfId="3" applyFont="1" applyBorder="1" applyAlignment="1" applyProtection="1">
      <alignment vertical="center" wrapText="1"/>
      <protection locked="0"/>
    </xf>
    <xf numFmtId="0" fontId="78" fillId="0" borderId="0" xfId="3" applyFont="1" applyAlignment="1">
      <alignment wrapText="1"/>
    </xf>
    <xf numFmtId="0" fontId="79" fillId="0" borderId="0" xfId="3" applyFont="1" applyAlignment="1">
      <alignment horizontal="left" wrapText="1"/>
    </xf>
    <xf numFmtId="0" fontId="78" fillId="0" borderId="0" xfId="3" applyFont="1" applyAlignment="1">
      <alignment vertical="center" wrapText="1"/>
    </xf>
    <xf numFmtId="0" fontId="78" fillId="0" borderId="8" xfId="3" applyFont="1" applyBorder="1" applyAlignment="1">
      <alignment vertical="center"/>
    </xf>
    <xf numFmtId="0" fontId="78" fillId="0" borderId="1" xfId="3" applyFont="1" applyBorder="1" applyAlignment="1">
      <alignment vertical="center"/>
    </xf>
    <xf numFmtId="0" fontId="78" fillId="0" borderId="0" xfId="3" applyFont="1" applyAlignment="1">
      <alignment vertical="center"/>
    </xf>
    <xf numFmtId="0" fontId="79" fillId="0" borderId="0" xfId="3" applyFont="1"/>
    <xf numFmtId="0" fontId="78" fillId="0" borderId="1" xfId="3" applyFont="1" applyBorder="1" applyAlignment="1" applyProtection="1">
      <alignment vertical="center"/>
      <protection locked="0"/>
    </xf>
    <xf numFmtId="0" fontId="78" fillId="0" borderId="0" xfId="3" applyFont="1"/>
    <xf numFmtId="14" fontId="3" fillId="0" borderId="1" xfId="3" applyNumberFormat="1" applyBorder="1" applyAlignment="1" applyProtection="1">
      <alignment horizontal="center"/>
      <protection locked="0"/>
    </xf>
    <xf numFmtId="0" fontId="76" fillId="0" borderId="0" xfId="3" applyFont="1" applyAlignment="1">
      <alignment horizontal="center"/>
    </xf>
    <xf numFmtId="0" fontId="3" fillId="0" borderId="1" xfId="3" applyBorder="1" applyAlignment="1">
      <alignment horizontal="left"/>
    </xf>
    <xf numFmtId="0" fontId="3" fillId="0" borderId="1" xfId="3" applyBorder="1" applyAlignment="1">
      <alignment horizontal="center"/>
    </xf>
    <xf numFmtId="0" fontId="4" fillId="0" borderId="0" xfId="3" applyFont="1" applyAlignment="1">
      <alignment horizontal="center"/>
    </xf>
    <xf numFmtId="14" fontId="3" fillId="0" borderId="1" xfId="3" applyNumberFormat="1" applyBorder="1" applyAlignment="1">
      <alignment horizontal="center"/>
    </xf>
    <xf numFmtId="0" fontId="10" fillId="0" borderId="0" xfId="4" applyFont="1" applyAlignment="1">
      <alignment horizontal="center"/>
    </xf>
    <xf numFmtId="0" fontId="3" fillId="8" borderId="1" xfId="3" applyFill="1" applyBorder="1" applyAlignment="1">
      <alignment horizontal="left"/>
    </xf>
    <xf numFmtId="0" fontId="3" fillId="8" borderId="1" xfId="3" applyFill="1" applyBorder="1" applyAlignment="1" applyProtection="1">
      <alignment horizontal="left"/>
      <protection locked="0"/>
    </xf>
    <xf numFmtId="14" fontId="3" fillId="8" borderId="1" xfId="3" applyNumberFormat="1" applyFill="1" applyBorder="1" applyAlignment="1">
      <alignment horizontal="left"/>
    </xf>
    <xf numFmtId="14" fontId="3" fillId="8" borderId="8" xfId="3" applyNumberFormat="1" applyFill="1" applyBorder="1" applyAlignment="1">
      <alignment horizontal="left"/>
    </xf>
    <xf numFmtId="0" fontId="3" fillId="8" borderId="16" xfId="3" applyFill="1" applyBorder="1" applyAlignment="1">
      <alignment horizontal="left"/>
    </xf>
    <xf numFmtId="0" fontId="4" fillId="0" borderId="1" xfId="3" applyFont="1" applyBorder="1" applyAlignment="1" applyProtection="1">
      <alignment horizontal="center"/>
      <protection locked="0"/>
    </xf>
    <xf numFmtId="0" fontId="3" fillId="0" borderId="1" xfId="3" applyBorder="1" applyAlignment="1" applyProtection="1">
      <alignment horizontal="center"/>
      <protection locked="0"/>
    </xf>
    <xf numFmtId="166" fontId="3" fillId="0" borderId="1" xfId="3" applyNumberFormat="1" applyBorder="1" applyAlignment="1" applyProtection="1">
      <alignment horizontal="center"/>
      <protection locked="0"/>
    </xf>
    <xf numFmtId="0" fontId="3" fillId="0" borderId="1" xfId="3" applyBorder="1" applyAlignment="1" applyProtection="1">
      <alignment horizontal="left"/>
      <protection locked="0"/>
    </xf>
    <xf numFmtId="0" fontId="4" fillId="0" borderId="1" xfId="3" applyFont="1" applyBorder="1" applyAlignment="1">
      <alignment horizontal="center"/>
    </xf>
    <xf numFmtId="0" fontId="3" fillId="0" borderId="2" xfId="3" applyBorder="1" applyAlignment="1">
      <alignment horizontal="center" vertical="top"/>
    </xf>
    <xf numFmtId="0" fontId="3" fillId="0" borderId="3" xfId="3" applyBorder="1" applyAlignment="1">
      <alignment horizontal="center" vertical="top"/>
    </xf>
    <xf numFmtId="0" fontId="3" fillId="0" borderId="4" xfId="3" applyBorder="1" applyAlignment="1">
      <alignment horizontal="center" vertical="top"/>
    </xf>
    <xf numFmtId="0" fontId="3" fillId="0" borderId="5" xfId="3" applyBorder="1" applyAlignment="1">
      <alignment horizontal="center" vertical="top"/>
    </xf>
    <xf numFmtId="0" fontId="3" fillId="0" borderId="0" xfId="3" applyAlignment="1">
      <alignment horizontal="center" vertical="top"/>
    </xf>
    <xf numFmtId="0" fontId="3" fillId="0" borderId="6" xfId="3" applyBorder="1" applyAlignment="1">
      <alignment horizontal="center" vertical="top"/>
    </xf>
    <xf numFmtId="0" fontId="3" fillId="0" borderId="7" xfId="3" applyBorder="1" applyAlignment="1">
      <alignment horizontal="center" vertical="top"/>
    </xf>
    <xf numFmtId="0" fontId="3" fillId="0" borderId="1" xfId="3" applyBorder="1" applyAlignment="1">
      <alignment horizontal="center" vertical="top"/>
    </xf>
    <xf numFmtId="0" fontId="3" fillId="0" borderId="8" xfId="3" applyBorder="1" applyAlignment="1">
      <alignment horizontal="center" vertical="top"/>
    </xf>
    <xf numFmtId="0" fontId="3" fillId="0" borderId="7" xfId="3" applyBorder="1" applyAlignment="1">
      <alignment horizontal="left"/>
    </xf>
    <xf numFmtId="0" fontId="3" fillId="0" borderId="8" xfId="3" applyBorder="1" applyAlignment="1">
      <alignment horizontal="left"/>
    </xf>
    <xf numFmtId="0" fontId="3" fillId="0" borderId="19" xfId="3" applyBorder="1" applyAlignment="1">
      <alignment horizontal="left" vertical="top"/>
    </xf>
    <xf numFmtId="0" fontId="3" fillId="0" borderId="16" xfId="3" applyBorder="1" applyAlignment="1">
      <alignment horizontal="left" vertical="top"/>
    </xf>
    <xf numFmtId="0" fontId="3" fillId="0" borderId="17" xfId="3" applyBorder="1" applyAlignment="1">
      <alignment horizontal="left" vertical="top"/>
    </xf>
    <xf numFmtId="0" fontId="3" fillId="0" borderId="19" xfId="3" applyBorder="1" applyAlignment="1">
      <alignment horizontal="center"/>
    </xf>
    <xf numFmtId="0" fontId="3" fillId="0" borderId="16" xfId="3" applyBorder="1" applyAlignment="1">
      <alignment horizontal="center"/>
    </xf>
    <xf numFmtId="0" fontId="3" fillId="0" borderId="17" xfId="3" applyBorder="1" applyAlignment="1">
      <alignment horizontal="center"/>
    </xf>
    <xf numFmtId="0" fontId="4" fillId="0" borderId="22" xfId="3" applyFont="1" applyBorder="1" applyAlignment="1">
      <alignment horizontal="center" vertical="center" wrapText="1"/>
    </xf>
    <xf numFmtId="0" fontId="4" fillId="0" borderId="20" xfId="3" applyFont="1" applyBorder="1" applyAlignment="1">
      <alignment horizontal="center" vertical="center" wrapText="1"/>
    </xf>
    <xf numFmtId="0" fontId="4" fillId="0" borderId="21" xfId="3" applyFont="1" applyBorder="1" applyAlignment="1">
      <alignment horizontal="center" vertical="center" wrapText="1"/>
    </xf>
    <xf numFmtId="0" fontId="3" fillId="0" borderId="22" xfId="3" applyBorder="1" applyAlignment="1">
      <alignment horizontal="center" vertical="center" wrapText="1"/>
    </xf>
    <xf numFmtId="0" fontId="4" fillId="0" borderId="22" xfId="3" applyFont="1" applyBorder="1" applyAlignment="1">
      <alignment horizontal="center" vertical="center" textRotation="90"/>
    </xf>
    <xf numFmtId="0" fontId="4" fillId="0" borderId="20" xfId="3" applyFont="1" applyBorder="1" applyAlignment="1">
      <alignment horizontal="center" vertical="center" textRotation="90"/>
    </xf>
    <xf numFmtId="0" fontId="4" fillId="0" borderId="21" xfId="3" applyFont="1" applyBorder="1" applyAlignment="1">
      <alignment horizontal="center" vertical="center" textRotation="90"/>
    </xf>
    <xf numFmtId="0" fontId="4" fillId="0" borderId="19" xfId="3" applyFont="1" applyBorder="1" applyAlignment="1">
      <alignment horizontal="center"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4" fillId="0" borderId="9" xfId="3" applyFont="1" applyBorder="1" applyAlignment="1">
      <alignment horizontal="center" vertical="center" wrapText="1"/>
    </xf>
    <xf numFmtId="0" fontId="4" fillId="0" borderId="9" xfId="3" applyFont="1" applyBorder="1" applyAlignment="1">
      <alignment horizontal="center" vertical="center" textRotation="90"/>
    </xf>
    <xf numFmtId="14" fontId="3" fillId="0" borderId="1" xfId="3" applyNumberFormat="1" applyBorder="1" applyAlignment="1" applyProtection="1">
      <alignment horizontal="center"/>
      <protection locked="0"/>
    </xf>
    <xf numFmtId="0" fontId="4" fillId="0" borderId="22" xfId="3" applyFont="1" applyBorder="1" applyAlignment="1">
      <alignment horizontal="center" vertical="center" textRotation="90" wrapText="1" shrinkToFit="1"/>
    </xf>
    <xf numFmtId="0" fontId="4" fillId="0" borderId="20" xfId="3" applyFont="1" applyBorder="1" applyAlignment="1">
      <alignment horizontal="center" vertical="center" textRotation="90" wrapText="1" shrinkToFit="1"/>
    </xf>
    <xf numFmtId="0" fontId="4" fillId="0" borderId="21" xfId="3" applyFont="1" applyBorder="1" applyAlignment="1">
      <alignment horizontal="center" vertical="center" textRotation="90" wrapText="1" shrinkToFit="1"/>
    </xf>
    <xf numFmtId="0" fontId="4" fillId="0" borderId="60" xfId="3" applyFont="1" applyBorder="1" applyAlignment="1">
      <alignment vertical="center" wrapText="1"/>
    </xf>
    <xf numFmtId="0" fontId="4" fillId="0" borderId="61" xfId="3" applyFont="1" applyBorder="1" applyAlignment="1">
      <alignment vertical="center" wrapText="1"/>
    </xf>
    <xf numFmtId="0" fontId="4" fillId="0" borderId="62" xfId="3" applyFont="1" applyBorder="1" applyAlignment="1">
      <alignment vertical="center" wrapText="1"/>
    </xf>
    <xf numFmtId="0" fontId="4" fillId="0" borderId="22" xfId="3" applyFont="1" applyBorder="1" applyAlignment="1">
      <alignment horizontal="center" vertical="center" textRotation="90" wrapText="1"/>
    </xf>
    <xf numFmtId="0" fontId="4" fillId="0" borderId="20" xfId="3" applyFont="1" applyBorder="1" applyAlignment="1">
      <alignment horizontal="center" vertical="center" textRotation="90" wrapText="1"/>
    </xf>
    <xf numFmtId="0" fontId="4" fillId="0" borderId="21" xfId="3" applyFont="1" applyBorder="1" applyAlignment="1">
      <alignment horizontal="center" vertical="center" textRotation="90" wrapText="1"/>
    </xf>
    <xf numFmtId="0" fontId="29" fillId="0" borderId="0" xfId="3" applyFont="1" applyAlignment="1">
      <alignment horizontal="center" vertical="top" wrapText="1"/>
    </xf>
    <xf numFmtId="0" fontId="3" fillId="0" borderId="16" xfId="3" applyBorder="1" applyAlignment="1" applyProtection="1">
      <alignment horizontal="center"/>
      <protection locked="0"/>
    </xf>
    <xf numFmtId="0" fontId="4" fillId="0" borderId="20" xfId="3" applyFont="1" applyBorder="1" applyAlignment="1">
      <alignment horizontal="center" vertical="center"/>
    </xf>
    <xf numFmtId="0" fontId="4" fillId="0" borderId="21" xfId="3" applyFont="1" applyBorder="1" applyAlignment="1">
      <alignment horizontal="center" vertical="center"/>
    </xf>
    <xf numFmtId="0" fontId="4" fillId="0" borderId="22" xfId="3" applyFont="1" applyBorder="1" applyAlignment="1">
      <alignment vertical="center" wrapText="1"/>
    </xf>
    <xf numFmtId="0" fontId="4" fillId="0" borderId="20" xfId="3" applyFont="1" applyBorder="1" applyAlignment="1">
      <alignment vertical="center" wrapText="1"/>
    </xf>
    <xf numFmtId="0" fontId="4" fillId="0" borderId="21" xfId="3" applyFont="1" applyBorder="1" applyAlignment="1">
      <alignment vertical="center" wrapText="1"/>
    </xf>
    <xf numFmtId="0" fontId="78" fillId="0" borderId="1" xfId="3" applyFont="1" applyBorder="1" applyAlignment="1" applyProtection="1">
      <alignment horizontal="left" vertical="center"/>
      <protection locked="0"/>
    </xf>
    <xf numFmtId="0" fontId="19" fillId="0" borderId="7" xfId="3" applyFont="1" applyBorder="1" applyAlignment="1" applyProtection="1">
      <alignment horizontal="left"/>
      <protection locked="0"/>
    </xf>
    <xf numFmtId="0" fontId="19" fillId="0" borderId="1" xfId="3" applyFont="1" applyBorder="1" applyAlignment="1" applyProtection="1">
      <alignment horizontal="left"/>
      <protection locked="0"/>
    </xf>
    <xf numFmtId="0" fontId="19" fillId="0" borderId="8" xfId="3" applyFont="1" applyBorder="1" applyAlignment="1" applyProtection="1">
      <alignment horizontal="left"/>
      <protection locked="0"/>
    </xf>
    <xf numFmtId="0" fontId="19" fillId="0" borderId="28" xfId="3" applyFont="1" applyBorder="1" applyAlignment="1" applyProtection="1">
      <alignment horizontal="left"/>
      <protection locked="0"/>
    </xf>
    <xf numFmtId="0" fontId="19" fillId="0" borderId="13" xfId="3" applyFont="1" applyBorder="1" applyAlignment="1" applyProtection="1">
      <alignment horizontal="left"/>
      <protection locked="0"/>
    </xf>
    <xf numFmtId="0" fontId="19" fillId="0" borderId="18" xfId="3" applyFont="1" applyBorder="1" applyAlignment="1" applyProtection="1">
      <alignment horizontal="left"/>
      <protection locked="0"/>
    </xf>
    <xf numFmtId="0" fontId="3" fillId="0" borderId="28" xfId="3" applyBorder="1" applyAlignment="1">
      <alignment horizontal="left"/>
    </xf>
    <xf numFmtId="0" fontId="3" fillId="0" borderId="18" xfId="3" applyBorder="1" applyAlignment="1">
      <alignment horizontal="left"/>
    </xf>
    <xf numFmtId="14" fontId="19" fillId="0" borderId="7" xfId="3" applyNumberFormat="1" applyFont="1" applyBorder="1" applyAlignment="1" applyProtection="1">
      <alignment horizontal="center"/>
      <protection locked="0"/>
    </xf>
    <xf numFmtId="14" fontId="19" fillId="0" borderId="8" xfId="3" applyNumberFormat="1" applyFont="1" applyBorder="1" applyAlignment="1" applyProtection="1">
      <alignment horizontal="center"/>
      <protection locked="0"/>
    </xf>
    <xf numFmtId="0" fontId="3" fillId="0" borderId="5" xfId="3" applyBorder="1" applyAlignment="1">
      <alignment horizontal="center"/>
    </xf>
    <xf numFmtId="0" fontId="3" fillId="0" borderId="6" xfId="3" applyBorder="1" applyAlignment="1">
      <alignment horizontal="center"/>
    </xf>
    <xf numFmtId="0" fontId="4" fillId="0" borderId="35" xfId="3" applyFont="1" applyBorder="1" applyAlignment="1">
      <alignment horizontal="center" vertical="center"/>
    </xf>
    <xf numFmtId="0" fontId="4" fillId="0" borderId="9" xfId="3" applyFont="1" applyBorder="1" applyAlignment="1">
      <alignment horizontal="center" vertical="center"/>
    </xf>
    <xf numFmtId="0" fontId="4" fillId="0" borderId="50" xfId="3" applyFont="1" applyBorder="1" applyAlignment="1">
      <alignment horizontal="center" vertical="center" wrapText="1"/>
    </xf>
    <xf numFmtId="0" fontId="4" fillId="0" borderId="52" xfId="3" applyFont="1" applyBorder="1" applyAlignment="1">
      <alignment horizontal="center" vertical="center" wrapText="1"/>
    </xf>
    <xf numFmtId="0" fontId="4" fillId="0" borderId="54" xfId="3" applyFont="1" applyBorder="1" applyAlignment="1">
      <alignment horizontal="center" vertical="center" wrapText="1"/>
    </xf>
    <xf numFmtId="0" fontId="4" fillId="0" borderId="49" xfId="3" applyFont="1" applyBorder="1" applyAlignment="1">
      <alignment horizontal="center" vertical="center" wrapText="1"/>
    </xf>
    <xf numFmtId="0" fontId="4" fillId="0" borderId="51" xfId="3" applyFont="1" applyBorder="1" applyAlignment="1">
      <alignment horizontal="center" vertical="center" wrapText="1"/>
    </xf>
    <xf numFmtId="0" fontId="4" fillId="0" borderId="53" xfId="3" applyFont="1" applyBorder="1" applyAlignment="1">
      <alignment horizontal="center" vertical="center" wrapText="1"/>
    </xf>
    <xf numFmtId="0" fontId="4" fillId="0" borderId="35" xfId="3" applyFont="1" applyBorder="1" applyAlignment="1">
      <alignment horizontal="center" vertical="center" wrapText="1"/>
    </xf>
    <xf numFmtId="0" fontId="4" fillId="0" borderId="31" xfId="3" applyFont="1" applyBorder="1" applyAlignment="1">
      <alignment horizontal="center" vertical="center" wrapText="1"/>
    </xf>
    <xf numFmtId="0" fontId="4" fillId="0" borderId="31" xfId="3" applyFont="1" applyBorder="1" applyAlignment="1">
      <alignment horizontal="center" vertical="center"/>
    </xf>
    <xf numFmtId="0" fontId="55" fillId="4" borderId="63" xfId="3" applyFont="1" applyFill="1" applyBorder="1" applyAlignment="1" applyProtection="1">
      <alignment horizontal="center" vertical="center" wrapText="1"/>
      <protection locked="0"/>
    </xf>
    <xf numFmtId="0" fontId="55" fillId="4" borderId="64" xfId="3" applyFont="1" applyFill="1" applyBorder="1" applyAlignment="1" applyProtection="1">
      <alignment horizontal="center" vertical="center" wrapText="1"/>
      <protection locked="0"/>
    </xf>
    <xf numFmtId="0" fontId="55" fillId="4" borderId="65" xfId="3" applyFont="1" applyFill="1" applyBorder="1" applyAlignment="1" applyProtection="1">
      <alignment horizontal="center" vertical="center" wrapText="1"/>
      <protection locked="0"/>
    </xf>
    <xf numFmtId="0" fontId="7" fillId="0" borderId="0" xfId="3" applyFont="1" applyAlignment="1">
      <alignment horizontal="center"/>
    </xf>
    <xf numFmtId="0" fontId="7" fillId="0" borderId="6" xfId="3" applyFont="1" applyBorder="1" applyAlignment="1">
      <alignment horizontal="center"/>
    </xf>
    <xf numFmtId="0" fontId="23" fillId="0" borderId="0" xfId="3" applyFont="1" applyAlignment="1">
      <alignment horizontal="center" vertical="center"/>
    </xf>
    <xf numFmtId="0" fontId="23" fillId="0" borderId="1" xfId="3" applyFont="1" applyBorder="1" applyAlignment="1">
      <alignment horizontal="center" vertical="center"/>
    </xf>
    <xf numFmtId="0" fontId="23" fillId="0" borderId="0" xfId="3" applyFont="1" applyAlignment="1">
      <alignment horizontal="center" vertical="top"/>
    </xf>
    <xf numFmtId="0" fontId="23" fillId="0" borderId="1" xfId="3" applyFont="1" applyBorder="1" applyAlignment="1">
      <alignment horizontal="center" vertical="top"/>
    </xf>
    <xf numFmtId="166" fontId="3" fillId="0" borderId="9" xfId="3" applyNumberFormat="1" applyBorder="1" applyAlignment="1">
      <alignment horizontal="center"/>
    </xf>
    <xf numFmtId="0" fontId="44" fillId="0" borderId="3" xfId="3" applyFont="1" applyBorder="1" applyAlignment="1">
      <alignment horizontal="center"/>
    </xf>
    <xf numFmtId="0" fontId="19" fillId="0" borderId="7" xfId="3" applyFont="1" applyBorder="1" applyAlignment="1" applyProtection="1">
      <alignment horizontal="center"/>
      <protection locked="0"/>
    </xf>
    <xf numFmtId="0" fontId="19" fillId="0" borderId="1" xfId="3" applyFont="1" applyBorder="1" applyAlignment="1" applyProtection="1">
      <alignment horizontal="center"/>
      <protection locked="0"/>
    </xf>
    <xf numFmtId="0" fontId="19" fillId="0" borderId="8" xfId="3" applyFont="1" applyBorder="1" applyAlignment="1" applyProtection="1">
      <alignment horizontal="center"/>
      <protection locked="0"/>
    </xf>
    <xf numFmtId="165" fontId="19" fillId="0" borderId="7" xfId="3" applyNumberFormat="1" applyFont="1" applyBorder="1" applyAlignment="1" applyProtection="1">
      <alignment horizontal="center"/>
      <protection locked="0"/>
    </xf>
    <xf numFmtId="165" fontId="19" fillId="0" borderId="8" xfId="3" applyNumberFormat="1" applyFont="1" applyBorder="1" applyAlignment="1" applyProtection="1">
      <alignment horizontal="center"/>
      <protection locked="0"/>
    </xf>
    <xf numFmtId="0" fontId="29" fillId="0" borderId="9" xfId="3" applyFont="1" applyBorder="1" applyAlignment="1">
      <alignment horizontal="center"/>
    </xf>
    <xf numFmtId="0" fontId="24" fillId="0" borderId="7" xfId="3" applyFont="1" applyBorder="1" applyAlignment="1">
      <alignment horizontal="center"/>
    </xf>
    <xf numFmtId="0" fontId="24" fillId="0" borderId="1" xfId="3" applyFont="1" applyBorder="1" applyAlignment="1">
      <alignment horizontal="center"/>
    </xf>
    <xf numFmtId="0" fontId="24" fillId="0" borderId="8" xfId="3" applyFont="1" applyBorder="1" applyAlignment="1">
      <alignment horizontal="center"/>
    </xf>
    <xf numFmtId="0" fontId="8" fillId="0" borderId="0" xfId="3" applyFont="1" applyAlignment="1">
      <alignment horizontal="center"/>
    </xf>
    <xf numFmtId="0" fontId="23" fillId="0" borderId="0" xfId="3" applyFont="1" applyAlignment="1">
      <alignment horizontal="center"/>
    </xf>
    <xf numFmtId="0" fontId="24" fillId="0" borderId="7" xfId="3" applyFont="1" applyBorder="1" applyAlignment="1">
      <alignment horizontal="left"/>
    </xf>
    <xf numFmtId="0" fontId="24" fillId="0" borderId="1" xfId="3" applyFont="1" applyBorder="1" applyAlignment="1">
      <alignment horizontal="left"/>
    </xf>
    <xf numFmtId="0" fontId="24" fillId="0" borderId="8" xfId="3" applyFont="1" applyBorder="1" applyAlignment="1">
      <alignment horizontal="left"/>
    </xf>
    <xf numFmtId="0" fontId="19" fillId="0" borderId="7" xfId="3" applyFont="1" applyBorder="1" applyAlignment="1">
      <alignment horizontal="left"/>
    </xf>
    <xf numFmtId="0" fontId="19" fillId="0" borderId="1" xfId="3" applyFont="1" applyBorder="1" applyAlignment="1">
      <alignment horizontal="left"/>
    </xf>
    <xf numFmtId="0" fontId="19" fillId="0" borderId="8" xfId="3" applyFont="1" applyBorder="1" applyAlignment="1">
      <alignment horizontal="left"/>
    </xf>
    <xf numFmtId="0" fontId="10" fillId="0" borderId="1" xfId="3" applyFont="1" applyBorder="1" applyAlignment="1">
      <alignment horizontal="center"/>
    </xf>
    <xf numFmtId="0" fontId="10" fillId="0" borderId="0" xfId="3" applyFont="1" applyAlignment="1">
      <alignment horizontal="center"/>
    </xf>
    <xf numFmtId="0" fontId="29" fillId="0" borderId="22" xfId="3" applyFont="1" applyBorder="1" applyAlignment="1">
      <alignment horizontal="center" vertical="center"/>
    </xf>
    <xf numFmtId="0" fontId="29" fillId="0" borderId="21" xfId="3" applyFont="1" applyBorder="1" applyAlignment="1">
      <alignment horizontal="center" vertical="center"/>
    </xf>
    <xf numFmtId="0" fontId="29" fillId="0" borderId="19" xfId="3" applyFont="1" applyBorder="1" applyAlignment="1">
      <alignment horizontal="center" vertical="center"/>
    </xf>
    <xf numFmtId="0" fontId="3" fillId="0" borderId="2" xfId="3" applyBorder="1" applyAlignment="1">
      <alignment horizontal="center"/>
    </xf>
    <xf numFmtId="0" fontId="3" fillId="0" borderId="4" xfId="3" applyBorder="1" applyAlignment="1">
      <alignment horizontal="center"/>
    </xf>
    <xf numFmtId="167" fontId="3" fillId="0" borderId="7" xfId="3" applyNumberFormat="1" applyBorder="1" applyAlignment="1">
      <alignment horizontal="center"/>
    </xf>
    <xf numFmtId="167" fontId="3" fillId="0" borderId="8" xfId="3" applyNumberFormat="1" applyBorder="1" applyAlignment="1">
      <alignment horizontal="center"/>
    </xf>
    <xf numFmtId="0" fontId="29" fillId="0" borderId="2" xfId="3" applyFont="1" applyBorder="1" applyAlignment="1">
      <alignment horizontal="center" vertical="center"/>
    </xf>
    <xf numFmtId="0" fontId="29" fillId="0" borderId="4" xfId="3" applyFont="1" applyBorder="1" applyAlignment="1">
      <alignment horizontal="center" vertical="center"/>
    </xf>
    <xf numFmtId="0" fontId="29" fillId="0" borderId="7" xfId="3" applyFont="1" applyBorder="1" applyAlignment="1">
      <alignment horizontal="center" vertical="center"/>
    </xf>
    <xf numFmtId="0" fontId="29" fillId="0" borderId="8" xfId="3" applyFont="1" applyBorder="1" applyAlignment="1">
      <alignment horizontal="center" vertical="center"/>
    </xf>
    <xf numFmtId="0" fontId="22" fillId="0" borderId="8" xfId="3" applyFont="1" applyBorder="1" applyAlignment="1">
      <alignment horizontal="center"/>
    </xf>
    <xf numFmtId="0" fontId="22" fillId="0" borderId="21" xfId="3" applyFont="1" applyBorder="1" applyAlignment="1">
      <alignment horizontal="center"/>
    </xf>
    <xf numFmtId="0" fontId="3" fillId="0" borderId="19" xfId="3" quotePrefix="1" applyBorder="1" applyAlignment="1">
      <alignment horizontal="center"/>
    </xf>
    <xf numFmtId="2" fontId="3" fillId="0" borderId="19" xfId="3" quotePrefix="1" applyNumberFormat="1" applyBorder="1" applyAlignment="1">
      <alignment horizontal="center"/>
    </xf>
    <xf numFmtId="2" fontId="3" fillId="0" borderId="17" xfId="3" applyNumberFormat="1" applyBorder="1" applyAlignment="1">
      <alignment horizontal="center"/>
    </xf>
    <xf numFmtId="0" fontId="22" fillId="0" borderId="9" xfId="3" applyFont="1" applyBorder="1" applyAlignment="1">
      <alignment horizontal="center"/>
    </xf>
    <xf numFmtId="0" fontId="29" fillId="0" borderId="19" xfId="3" applyFont="1" applyBorder="1" applyAlignment="1">
      <alignment horizontal="center"/>
    </xf>
    <xf numFmtId="0" fontId="29" fillId="0" borderId="16" xfId="3" applyFont="1" applyBorder="1" applyAlignment="1">
      <alignment horizontal="center"/>
    </xf>
    <xf numFmtId="0" fontId="29" fillId="0" borderId="17" xfId="3" applyFont="1" applyBorder="1" applyAlignment="1">
      <alignment horizontal="center"/>
    </xf>
    <xf numFmtId="0" fontId="29" fillId="0" borderId="22" xfId="3" applyFont="1" applyBorder="1" applyAlignment="1">
      <alignment horizontal="center"/>
    </xf>
    <xf numFmtId="0" fontId="3" fillId="0" borderId="21" xfId="3" applyBorder="1" applyAlignment="1">
      <alignment horizontal="center"/>
    </xf>
    <xf numFmtId="0" fontId="3" fillId="0" borderId="7" xfId="3" applyBorder="1" applyAlignment="1">
      <alignment horizontal="center"/>
    </xf>
    <xf numFmtId="0" fontId="3" fillId="0" borderId="8" xfId="3" applyBorder="1" applyAlignment="1">
      <alignment horizontal="center"/>
    </xf>
    <xf numFmtId="0" fontId="3" fillId="0" borderId="9" xfId="3" quotePrefix="1" applyBorder="1" applyAlignment="1">
      <alignment horizontal="center"/>
    </xf>
    <xf numFmtId="0" fontId="3" fillId="0" borderId="9" xfId="3" applyBorder="1" applyAlignment="1">
      <alignment horizontal="center"/>
    </xf>
    <xf numFmtId="9" fontId="3" fillId="0" borderId="9" xfId="3" quotePrefix="1" applyNumberFormat="1" applyBorder="1" applyAlignment="1">
      <alignment horizontal="center"/>
    </xf>
    <xf numFmtId="9" fontId="3" fillId="0" borderId="9" xfId="3" applyNumberFormat="1" applyBorder="1" applyAlignment="1">
      <alignment horizontal="center"/>
    </xf>
    <xf numFmtId="9" fontId="29" fillId="0" borderId="9" xfId="3" applyNumberFormat="1" applyFont="1" applyBorder="1" applyAlignment="1">
      <alignment horizontal="center"/>
    </xf>
    <xf numFmtId="0" fontId="5" fillId="0" borderId="9" xfId="3" applyFont="1" applyBorder="1" applyAlignment="1">
      <alignment horizontal="center"/>
    </xf>
    <xf numFmtId="0" fontId="21" fillId="0" borderId="9" xfId="3" applyFont="1" applyBorder="1" applyAlignment="1">
      <alignment horizontal="center"/>
    </xf>
    <xf numFmtId="0" fontId="3" fillId="0" borderId="9" xfId="3" applyBorder="1" applyAlignment="1">
      <alignment horizontal="center" vertical="center" wrapText="1"/>
    </xf>
    <xf numFmtId="0" fontId="29" fillId="0" borderId="9" xfId="3" applyFont="1" applyBorder="1" applyAlignment="1">
      <alignment horizontal="center" vertical="center" wrapText="1"/>
    </xf>
    <xf numFmtId="9" fontId="3" fillId="0" borderId="9" xfId="3" applyNumberFormat="1" applyBorder="1" applyAlignment="1">
      <alignment horizontal="center" vertical="center" wrapText="1"/>
    </xf>
    <xf numFmtId="0" fontId="22" fillId="0" borderId="7" xfId="3" applyFont="1" applyBorder="1" applyAlignment="1">
      <alignment horizontal="center"/>
    </xf>
    <xf numFmtId="0" fontId="22" fillId="0" borderId="1" xfId="3" applyFont="1" applyBorder="1" applyAlignment="1">
      <alignment horizontal="center"/>
    </xf>
    <xf numFmtId="0" fontId="22" fillId="0" borderId="15" xfId="3" applyFont="1" applyBorder="1" applyAlignment="1">
      <alignment horizontal="center"/>
    </xf>
    <xf numFmtId="14" fontId="3" fillId="0" borderId="7" xfId="3" applyNumberFormat="1" applyBorder="1" applyAlignment="1">
      <alignment horizontal="center"/>
    </xf>
    <xf numFmtId="14" fontId="3" fillId="0" borderId="8" xfId="3" applyNumberFormat="1" applyBorder="1" applyAlignment="1">
      <alignment horizontal="center"/>
    </xf>
    <xf numFmtId="0" fontId="23" fillId="0" borderId="0" xfId="3" applyFont="1" applyAlignment="1">
      <alignment horizontal="left" vertical="center"/>
    </xf>
    <xf numFmtId="0" fontId="23" fillId="0" borderId="1" xfId="3" applyFont="1" applyBorder="1" applyAlignment="1">
      <alignment horizontal="left" vertical="center"/>
    </xf>
    <xf numFmtId="0" fontId="22" fillId="0" borderId="7" xfId="0" applyFont="1" applyBorder="1" applyAlignment="1">
      <alignment horizontal="center"/>
    </xf>
    <xf numFmtId="0" fontId="22" fillId="0" borderId="1" xfId="0" applyFont="1" applyBorder="1" applyAlignment="1">
      <alignment horizontal="center"/>
    </xf>
    <xf numFmtId="0" fontId="22" fillId="0" borderId="15" xfId="0" applyFont="1" applyBorder="1" applyAlignment="1">
      <alignment horizontal="center"/>
    </xf>
    <xf numFmtId="14" fontId="19" fillId="0" borderId="7" xfId="0" applyNumberFormat="1" applyFont="1" applyBorder="1" applyAlignment="1" applyProtection="1">
      <alignment horizontal="center"/>
      <protection locked="0"/>
    </xf>
    <xf numFmtId="14" fontId="19" fillId="0" borderId="1" xfId="0" applyNumberFormat="1" applyFont="1" applyBorder="1" applyAlignment="1" applyProtection="1">
      <alignment horizontal="center"/>
      <protection locked="0"/>
    </xf>
    <xf numFmtId="14" fontId="19" fillId="0" borderId="8" xfId="0" applyNumberFormat="1" applyFont="1" applyBorder="1" applyAlignment="1" applyProtection="1">
      <alignment horizontal="center"/>
      <protection locked="0"/>
    </xf>
    <xf numFmtId="14" fontId="0" fillId="0" borderId="7" xfId="0" applyNumberFormat="1" applyBorder="1" applyAlignment="1">
      <alignment horizontal="center"/>
    </xf>
    <xf numFmtId="14" fontId="0" fillId="0" borderId="8" xfId="0" applyNumberFormat="1" applyBorder="1" applyAlignment="1">
      <alignment horizontal="center"/>
    </xf>
    <xf numFmtId="0" fontId="0" fillId="0" borderId="7" xfId="0" applyBorder="1" applyAlignment="1">
      <alignment horizontal="left"/>
    </xf>
    <xf numFmtId="0" fontId="0" fillId="0" borderId="8" xfId="0" applyBorder="1" applyAlignment="1">
      <alignment horizontal="left"/>
    </xf>
    <xf numFmtId="0" fontId="0" fillId="0" borderId="1" xfId="0" applyBorder="1" applyAlignment="1">
      <alignment horizontal="left"/>
    </xf>
    <xf numFmtId="0" fontId="23" fillId="0" borderId="0" xfId="0" applyFont="1"/>
    <xf numFmtId="0" fontId="23" fillId="0" borderId="1" xfId="0" applyFont="1" applyBorder="1"/>
    <xf numFmtId="0" fontId="23" fillId="0" borderId="0" xfId="0" applyFont="1" applyAlignment="1">
      <alignment horizontal="left"/>
    </xf>
    <xf numFmtId="0" fontId="23" fillId="0" borderId="1" xfId="0" applyFont="1" applyBorder="1" applyAlignment="1">
      <alignment horizontal="left"/>
    </xf>
    <xf numFmtId="0" fontId="19" fillId="0" borderId="7" xfId="0" applyFont="1" applyBorder="1" applyAlignment="1" applyProtection="1">
      <alignment horizontal="left"/>
      <protection locked="0"/>
    </xf>
    <xf numFmtId="0" fontId="19" fillId="0" borderId="1" xfId="0" applyFont="1" applyBorder="1" applyAlignment="1" applyProtection="1">
      <alignment horizontal="left"/>
      <protection locked="0"/>
    </xf>
    <xf numFmtId="0" fontId="19" fillId="0" borderId="8" xfId="0" applyFont="1" applyBorder="1" applyAlignment="1" applyProtection="1">
      <alignment horizontal="left"/>
      <protection locked="0"/>
    </xf>
    <xf numFmtId="0" fontId="24" fillId="0" borderId="7" xfId="0" applyFont="1" applyBorder="1" applyAlignment="1">
      <alignment horizontal="left"/>
    </xf>
    <xf numFmtId="0" fontId="24" fillId="0" borderId="8" xfId="0" applyFont="1" applyBorder="1" applyAlignment="1">
      <alignment horizontal="left"/>
    </xf>
    <xf numFmtId="14" fontId="19" fillId="0" borderId="1" xfId="3" applyNumberFormat="1" applyFont="1" applyBorder="1" applyAlignment="1" applyProtection="1">
      <alignment horizontal="center"/>
      <protection locked="0"/>
    </xf>
    <xf numFmtId="0" fontId="3" fillId="0" borderId="3" xfId="3" applyBorder="1" applyAlignment="1">
      <alignment horizontal="center"/>
    </xf>
    <xf numFmtId="2" fontId="3" fillId="0" borderId="3" xfId="3" quotePrefix="1" applyNumberFormat="1" applyBorder="1" applyAlignment="1">
      <alignment horizontal="center"/>
    </xf>
    <xf numFmtId="2" fontId="3" fillId="0" borderId="3" xfId="3" applyNumberFormat="1" applyBorder="1" applyAlignment="1">
      <alignment horizontal="center"/>
    </xf>
    <xf numFmtId="0" fontId="3" fillId="0" borderId="0" xfId="3" applyAlignment="1">
      <alignment horizontal="center"/>
    </xf>
    <xf numFmtId="2" fontId="3" fillId="0" borderId="0" xfId="3" applyNumberFormat="1" applyAlignment="1">
      <alignment horizontal="center"/>
    </xf>
    <xf numFmtId="2" fontId="3" fillId="0" borderId="1" xfId="3" applyNumberFormat="1" applyBorder="1" applyAlignment="1">
      <alignment horizontal="center"/>
    </xf>
    <xf numFmtId="0" fontId="38" fillId="0" borderId="0" xfId="3" applyFont="1" applyAlignment="1">
      <alignment horizontal="left"/>
    </xf>
    <xf numFmtId="0" fontId="38" fillId="0" borderId="1" xfId="3" applyFont="1" applyBorder="1" applyAlignment="1">
      <alignment horizontal="left"/>
    </xf>
    <xf numFmtId="0" fontId="29" fillId="0" borderId="3" xfId="3" applyFont="1" applyBorder="1" applyAlignment="1">
      <alignment horizontal="center" wrapText="1"/>
    </xf>
    <xf numFmtId="0" fontId="29" fillId="0" borderId="1" xfId="3" applyFont="1" applyBorder="1" applyAlignment="1">
      <alignment horizontal="center" wrapText="1"/>
    </xf>
    <xf numFmtId="0" fontId="10" fillId="0" borderId="3" xfId="3" applyFont="1" applyBorder="1" applyAlignment="1">
      <alignment horizontal="center" vertical="center"/>
    </xf>
    <xf numFmtId="0" fontId="10" fillId="0" borderId="1" xfId="3" applyFont="1" applyBorder="1" applyAlignment="1">
      <alignment horizontal="center" vertical="center"/>
    </xf>
    <xf numFmtId="0" fontId="29" fillId="0" borderId="3" xfId="3" applyFont="1" applyBorder="1" applyAlignment="1">
      <alignment horizontal="center" vertical="center" wrapText="1"/>
    </xf>
    <xf numFmtId="0" fontId="29" fillId="0" borderId="1" xfId="3" applyFont="1" applyBorder="1" applyAlignment="1">
      <alignment horizontal="center" vertical="center" wrapText="1"/>
    </xf>
    <xf numFmtId="168" fontId="3" fillId="0" borderId="3" xfId="3" applyNumberFormat="1" applyBorder="1" applyAlignment="1">
      <alignment horizontal="center"/>
    </xf>
    <xf numFmtId="2" fontId="3" fillId="0" borderId="0" xfId="3" quotePrefix="1" applyNumberFormat="1" applyAlignment="1">
      <alignment horizontal="center"/>
    </xf>
    <xf numFmtId="168" fontId="3" fillId="0" borderId="0" xfId="3" applyNumberFormat="1" applyAlignment="1">
      <alignment horizontal="center"/>
    </xf>
    <xf numFmtId="168" fontId="29" fillId="0" borderId="19" xfId="3" applyNumberFormat="1" applyFont="1" applyBorder="1" applyAlignment="1">
      <alignment horizontal="center"/>
    </xf>
    <xf numFmtId="168" fontId="29" fillId="0" borderId="16" xfId="3" applyNumberFormat="1" applyFont="1" applyBorder="1" applyAlignment="1">
      <alignment horizontal="center"/>
    </xf>
    <xf numFmtId="168" fontId="29" fillId="0" borderId="17" xfId="3" applyNumberFormat="1" applyFont="1" applyBorder="1" applyAlignment="1">
      <alignment horizontal="center"/>
    </xf>
    <xf numFmtId="0" fontId="38" fillId="0" borderId="0" xfId="3" applyFont="1"/>
    <xf numFmtId="0" fontId="38" fillId="0" borderId="1" xfId="3" applyFont="1" applyBorder="1"/>
    <xf numFmtId="0" fontId="23" fillId="0" borderId="0" xfId="0" applyFont="1" applyAlignment="1">
      <alignment horizontal="center" vertical="center"/>
    </xf>
    <xf numFmtId="0" fontId="23" fillId="0" borderId="1" xfId="0" applyFont="1" applyBorder="1" applyAlignment="1">
      <alignment horizontal="center" vertical="center"/>
    </xf>
    <xf numFmtId="14" fontId="19" fillId="0" borderId="7" xfId="0" applyNumberFormat="1" applyFont="1" applyBorder="1" applyAlignment="1" applyProtection="1">
      <alignment horizontal="left"/>
      <protection locked="0"/>
    </xf>
    <xf numFmtId="14" fontId="19" fillId="0" borderId="1" xfId="0" applyNumberFormat="1" applyFont="1" applyBorder="1" applyAlignment="1" applyProtection="1">
      <alignment horizontal="left"/>
      <protection locked="0"/>
    </xf>
    <xf numFmtId="14" fontId="19" fillId="0" borderId="8" xfId="0" applyNumberFormat="1" applyFont="1" applyBorder="1" applyAlignment="1" applyProtection="1">
      <alignment horizontal="left"/>
      <protection locked="0"/>
    </xf>
    <xf numFmtId="0" fontId="0" fillId="0" borderId="7" xfId="0" applyBorder="1" applyAlignment="1">
      <alignment horizontal="center"/>
    </xf>
    <xf numFmtId="0" fontId="0" fillId="0" borderId="1" xfId="0" applyBorder="1" applyAlignment="1">
      <alignment horizontal="center"/>
    </xf>
    <xf numFmtId="0" fontId="0" fillId="0" borderId="8" xfId="0" applyBorder="1" applyAlignment="1">
      <alignment horizontal="center"/>
    </xf>
    <xf numFmtId="2" fontId="4" fillId="0" borderId="16" xfId="0" applyNumberFormat="1" applyFont="1" applyBorder="1" applyAlignment="1">
      <alignment horizontal="center"/>
    </xf>
    <xf numFmtId="2" fontId="4" fillId="0" borderId="17" xfId="0" applyNumberFormat="1" applyFont="1" applyBorder="1" applyAlignment="1">
      <alignment horizontal="center"/>
    </xf>
    <xf numFmtId="2" fontId="0" fillId="0" borderId="0" xfId="0" applyNumberFormat="1" applyAlignment="1">
      <alignment horizontal="center"/>
    </xf>
    <xf numFmtId="0" fontId="0" fillId="0" borderId="0" xfId="0" applyAlignment="1">
      <alignment horizontal="center"/>
    </xf>
    <xf numFmtId="0" fontId="37" fillId="0" borderId="16" xfId="0" applyFont="1" applyBorder="1" applyAlignment="1">
      <alignment horizontal="center"/>
    </xf>
    <xf numFmtId="0" fontId="37" fillId="0" borderId="17" xfId="0" applyFont="1" applyBorder="1" applyAlignment="1">
      <alignment horizontal="center"/>
    </xf>
    <xf numFmtId="0" fontId="4" fillId="0" borderId="19" xfId="0" applyFont="1" applyBorder="1" applyAlignment="1">
      <alignment horizontal="center" vertical="center" wrapText="1"/>
    </xf>
    <xf numFmtId="0" fontId="4" fillId="0" borderId="17" xfId="0" applyFont="1" applyBorder="1" applyAlignment="1">
      <alignment horizontal="center" vertical="center" wrapText="1"/>
    </xf>
    <xf numFmtId="0" fontId="26" fillId="0" borderId="19"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2" fontId="0" fillId="0" borderId="19" xfId="0" applyNumberFormat="1" applyBorder="1" applyAlignment="1">
      <alignment horizontal="center"/>
    </xf>
    <xf numFmtId="2" fontId="0" fillId="0" borderId="17" xfId="0" applyNumberFormat="1" applyBorder="1" applyAlignment="1">
      <alignment horizontal="center"/>
    </xf>
    <xf numFmtId="0" fontId="0" fillId="0" borderId="9" xfId="0" applyBorder="1" applyAlignment="1">
      <alignment horizontal="center"/>
    </xf>
    <xf numFmtId="0" fontId="29" fillId="0" borderId="9" xfId="0" applyFont="1" applyBorder="1" applyAlignment="1">
      <alignment horizontal="center"/>
    </xf>
    <xf numFmtId="2" fontId="0" fillId="0" borderId="9" xfId="0" applyNumberFormat="1" applyBorder="1" applyAlignment="1">
      <alignment horizontal="center"/>
    </xf>
    <xf numFmtId="165" fontId="0" fillId="0" borderId="9" xfId="0" applyNumberFormat="1" applyBorder="1" applyAlignment="1">
      <alignment horizontal="center"/>
    </xf>
    <xf numFmtId="1" fontId="0" fillId="0" borderId="1" xfId="0" applyNumberForma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23" fillId="0" borderId="0" xfId="0" applyFont="1" applyAlignment="1">
      <alignment horizontal="center"/>
    </xf>
    <xf numFmtId="0" fontId="37" fillId="0" borderId="3" xfId="0" applyFont="1" applyBorder="1" applyAlignment="1">
      <alignment horizont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19" fillId="0" borderId="7" xfId="0" applyFont="1" applyBorder="1" applyAlignment="1">
      <alignment horizontal="left"/>
    </xf>
    <xf numFmtId="0" fontId="19" fillId="0" borderId="1" xfId="0" applyFont="1" applyBorder="1" applyAlignment="1">
      <alignment horizontal="left"/>
    </xf>
    <xf numFmtId="0" fontId="19" fillId="0" borderId="8" xfId="0" applyFont="1" applyBorder="1" applyAlignment="1">
      <alignment horizontal="left"/>
    </xf>
    <xf numFmtId="0" fontId="4" fillId="0" borderId="2" xfId="0" applyFont="1" applyBorder="1" applyAlignment="1">
      <alignment horizontal="right"/>
    </xf>
    <xf numFmtId="0" fontId="27" fillId="0" borderId="3" xfId="0" applyFont="1" applyBorder="1" applyAlignment="1">
      <alignment horizontal="right"/>
    </xf>
    <xf numFmtId="0" fontId="0" fillId="0" borderId="1" xfId="0" applyBorder="1" applyAlignment="1" applyProtection="1">
      <alignment horizontal="left"/>
      <protection locked="0"/>
    </xf>
    <xf numFmtId="0" fontId="4" fillId="0" borderId="5" xfId="0" applyFont="1" applyBorder="1" applyAlignment="1">
      <alignment horizontal="center"/>
    </xf>
    <xf numFmtId="0" fontId="4" fillId="0" borderId="0" xfId="0" applyFont="1" applyAlignment="1">
      <alignment horizontal="center"/>
    </xf>
    <xf numFmtId="0" fontId="0" fillId="0" borderId="1" xfId="0" applyBorder="1" applyAlignment="1" applyProtection="1">
      <alignment horizontal="center"/>
      <protection locked="0"/>
    </xf>
    <xf numFmtId="0" fontId="0" fillId="0" borderId="8" xfId="0" applyBorder="1" applyAlignment="1" applyProtection="1">
      <alignment horizontal="center"/>
      <protection locked="0"/>
    </xf>
    <xf numFmtId="0" fontId="27" fillId="0" borderId="5" xfId="0" applyFont="1" applyBorder="1" applyAlignment="1">
      <alignment horizontal="left"/>
    </xf>
    <xf numFmtId="0" fontId="27" fillId="0" borderId="0" xfId="0" applyFont="1" applyAlignment="1">
      <alignment horizontal="left"/>
    </xf>
    <xf numFmtId="0" fontId="4" fillId="0" borderId="5" xfId="0" applyFont="1" applyBorder="1" applyAlignment="1">
      <alignment horizontal="left"/>
    </xf>
    <xf numFmtId="0" fontId="0" fillId="0" borderId="9" xfId="0" applyBorder="1" applyAlignment="1">
      <alignment horizontal="center" vertical="center"/>
    </xf>
    <xf numFmtId="0" fontId="0" fillId="0" borderId="16" xfId="0" applyBorder="1" applyProtection="1">
      <protection locked="0"/>
    </xf>
    <xf numFmtId="0" fontId="0" fillId="0" borderId="17" xfId="0" applyBorder="1" applyProtection="1">
      <protection locked="0"/>
    </xf>
    <xf numFmtId="0" fontId="27" fillId="0" borderId="9" xfId="0" applyFont="1" applyBorder="1" applyAlignment="1">
      <alignment horizontal="center" vertical="center" wrapText="1"/>
    </xf>
    <xf numFmtId="0" fontId="0" fillId="0" borderId="8" xfId="0" applyBorder="1" applyAlignment="1" applyProtection="1">
      <alignment horizontal="left"/>
      <protection locked="0"/>
    </xf>
    <xf numFmtId="14" fontId="27" fillId="0" borderId="9" xfId="0" applyNumberFormat="1" applyFont="1" applyBorder="1" applyAlignment="1">
      <alignment horizontal="center" vertical="center" wrapText="1"/>
    </xf>
    <xf numFmtId="14" fontId="27" fillId="0" borderId="9" xfId="0" applyNumberFormat="1" applyFont="1" applyBorder="1" applyAlignment="1" applyProtection="1">
      <alignment horizontal="center"/>
      <protection locked="0"/>
    </xf>
    <xf numFmtId="0" fontId="0" fillId="0" borderId="9" xfId="0" applyBorder="1" applyAlignment="1" applyProtection="1">
      <alignment horizontal="center"/>
      <protection locked="0"/>
    </xf>
    <xf numFmtId="0" fontId="0" fillId="0" borderId="9" xfId="0" applyBorder="1" applyProtection="1">
      <protection locked="0"/>
    </xf>
    <xf numFmtId="0" fontId="41" fillId="0" borderId="3" xfId="0" applyFont="1" applyBorder="1" applyAlignment="1">
      <alignment horizontal="center"/>
    </xf>
    <xf numFmtId="0" fontId="27" fillId="0" borderId="19"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0" fillId="0" borderId="16" xfId="0" applyBorder="1" applyAlignment="1" applyProtection="1">
      <alignment horizontal="left"/>
      <protection locked="0"/>
    </xf>
    <xf numFmtId="0" fontId="0" fillId="0" borderId="17" xfId="0" applyBorder="1" applyAlignment="1" applyProtection="1">
      <alignment horizontal="left"/>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4" fillId="0" borderId="22" xfId="0" applyFont="1" applyBorder="1" applyAlignment="1">
      <alignment horizontal="left"/>
    </xf>
    <xf numFmtId="0" fontId="27" fillId="0" borderId="22" xfId="0" applyFont="1" applyBorder="1" applyAlignment="1">
      <alignment horizontal="left"/>
    </xf>
    <xf numFmtId="0" fontId="27" fillId="0" borderId="2" xfId="0" applyFont="1" applyBorder="1" applyAlignment="1">
      <alignment horizontal="left"/>
    </xf>
    <xf numFmtId="0" fontId="27" fillId="0" borderId="19" xfId="0" applyFont="1" applyBorder="1" applyProtection="1">
      <protection locked="0"/>
    </xf>
    <xf numFmtId="0" fontId="27" fillId="0" borderId="16" xfId="0" applyFont="1" applyBorder="1" applyProtection="1">
      <protection locked="0"/>
    </xf>
    <xf numFmtId="0" fontId="27" fillId="0" borderId="17" xfId="0" applyFont="1" applyBorder="1" applyProtection="1">
      <protection locked="0"/>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3" xfId="0" applyFont="1" applyBorder="1" applyAlignment="1">
      <alignment horizontal="left"/>
    </xf>
    <xf numFmtId="0" fontId="4" fillId="0" borderId="0" xfId="0" applyFont="1" applyAlignment="1">
      <alignment horizontal="left"/>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27" fillId="0" borderId="9" xfId="0" applyFont="1" applyBorder="1" applyAlignment="1" applyProtection="1">
      <alignment horizontal="center"/>
      <protection locked="0"/>
    </xf>
    <xf numFmtId="0" fontId="0" fillId="0" borderId="19" xfId="0" applyBorder="1" applyProtection="1">
      <protection locked="0"/>
    </xf>
    <xf numFmtId="0" fontId="54" fillId="4" borderId="63" xfId="0" applyFont="1" applyFill="1" applyBorder="1" applyAlignment="1" applyProtection="1">
      <alignment horizontal="center" vertical="center" wrapText="1"/>
      <protection locked="0"/>
    </xf>
    <xf numFmtId="0" fontId="54" fillId="4" borderId="64" xfId="0" applyFont="1" applyFill="1" applyBorder="1" applyAlignment="1" applyProtection="1">
      <alignment horizontal="center" vertical="center" wrapText="1"/>
      <protection locked="0"/>
    </xf>
    <xf numFmtId="0" fontId="54" fillId="4" borderId="65" xfId="0" applyFont="1" applyFill="1" applyBorder="1" applyAlignment="1" applyProtection="1">
      <alignment horizontal="center" vertical="center" wrapText="1"/>
      <protection locked="0"/>
    </xf>
    <xf numFmtId="0" fontId="23" fillId="2" borderId="0" xfId="0" applyFont="1" applyFill="1" applyAlignment="1" applyProtection="1">
      <alignment horizontal="center"/>
      <protection locked="0"/>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66" fillId="5" borderId="42" xfId="0" applyFont="1" applyFill="1" applyBorder="1" applyAlignment="1">
      <alignment horizontal="center" wrapText="1"/>
    </xf>
    <xf numFmtId="0" fontId="66" fillId="5" borderId="33" xfId="0" applyFont="1" applyFill="1" applyBorder="1" applyAlignment="1">
      <alignment horizontal="center" wrapText="1"/>
    </xf>
    <xf numFmtId="0" fontId="66" fillId="5" borderId="0" xfId="0" applyFont="1" applyFill="1" applyAlignment="1">
      <alignment horizontal="center" wrapText="1"/>
    </xf>
    <xf numFmtId="0" fontId="66" fillId="5" borderId="12" xfId="0" applyFont="1" applyFill="1" applyBorder="1" applyAlignment="1">
      <alignment horizontal="center" wrapText="1"/>
    </xf>
    <xf numFmtId="0" fontId="66" fillId="0" borderId="17" xfId="0" applyFont="1" applyBorder="1" applyAlignment="1" applyProtection="1">
      <alignment horizontal="center"/>
      <protection locked="0"/>
    </xf>
    <xf numFmtId="0" fontId="66" fillId="0" borderId="9" xfId="0" applyFont="1" applyBorder="1" applyAlignment="1" applyProtection="1">
      <alignment horizontal="center"/>
      <protection locked="0"/>
    </xf>
    <xf numFmtId="0" fontId="66" fillId="0" borderId="52" xfId="0" applyFont="1" applyBorder="1" applyAlignment="1" applyProtection="1">
      <alignment horizontal="center"/>
      <protection locked="0"/>
    </xf>
    <xf numFmtId="0" fontId="0" fillId="0" borderId="29" xfId="0" applyBorder="1" applyAlignment="1" applyProtection="1">
      <alignment horizontal="left"/>
      <protection locked="0"/>
    </xf>
    <xf numFmtId="0" fontId="0" fillId="0" borderId="32" xfId="0" applyBorder="1" applyAlignment="1" applyProtection="1">
      <alignment horizontal="left"/>
      <protection locked="0"/>
    </xf>
    <xf numFmtId="0" fontId="0" fillId="0" borderId="24" xfId="0" applyBorder="1" applyAlignment="1" applyProtection="1">
      <alignment horizontal="left"/>
      <protection locked="0"/>
    </xf>
    <xf numFmtId="0" fontId="67" fillId="0" borderId="13" xfId="0" applyFont="1" applyBorder="1" applyAlignment="1">
      <alignment horizontal="center"/>
    </xf>
    <xf numFmtId="0" fontId="0" fillId="0" borderId="15" xfId="0" applyBorder="1" applyAlignment="1">
      <alignment horizontal="left"/>
    </xf>
    <xf numFmtId="0" fontId="0" fillId="0" borderId="34" xfId="0" applyBorder="1" applyAlignment="1" applyProtection="1">
      <alignment horizontal="left"/>
      <protection locked="0"/>
    </xf>
    <xf numFmtId="0" fontId="0" fillId="0" borderId="15" xfId="0" applyBorder="1" applyAlignment="1" applyProtection="1">
      <alignment horizontal="left"/>
      <protection locked="0"/>
    </xf>
    <xf numFmtId="0" fontId="66" fillId="0" borderId="66" xfId="0" applyFont="1" applyBorder="1" applyAlignment="1" applyProtection="1">
      <alignment horizontal="center"/>
      <protection locked="0"/>
    </xf>
    <xf numFmtId="0" fontId="66" fillId="0" borderId="31" xfId="0" applyFont="1" applyBorder="1" applyAlignment="1" applyProtection="1">
      <alignment horizontal="center"/>
      <protection locked="0"/>
    </xf>
    <xf numFmtId="0" fontId="66" fillId="0" borderId="54" xfId="0" applyFont="1" applyBorder="1" applyAlignment="1" applyProtection="1">
      <alignment horizontal="center"/>
      <protection locked="0"/>
    </xf>
    <xf numFmtId="0" fontId="68" fillId="0" borderId="30" xfId="0" applyFont="1" applyBorder="1" applyAlignment="1">
      <alignment horizontal="center" vertical="center"/>
    </xf>
    <xf numFmtId="0" fontId="68" fillId="0" borderId="42" xfId="0" applyFont="1" applyBorder="1" applyAlignment="1">
      <alignment horizontal="center" vertical="center"/>
    </xf>
    <xf numFmtId="0" fontId="68" fillId="0" borderId="33" xfId="0" applyFont="1" applyBorder="1" applyAlignment="1">
      <alignment horizontal="center" vertical="center"/>
    </xf>
    <xf numFmtId="0" fontId="68" fillId="0" borderId="11" xfId="0" applyFont="1" applyBorder="1" applyAlignment="1">
      <alignment horizontal="center" vertical="center"/>
    </xf>
    <xf numFmtId="0" fontId="68" fillId="0" borderId="0" xfId="0" applyFont="1" applyAlignment="1">
      <alignment horizontal="center" vertical="center"/>
    </xf>
    <xf numFmtId="0" fontId="68" fillId="0" borderId="12" xfId="0" applyFont="1" applyBorder="1" applyAlignment="1">
      <alignment horizontal="center" vertical="center"/>
    </xf>
    <xf numFmtId="0" fontId="0" fillId="0" borderId="53"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54" xfId="0" applyBorder="1" applyAlignment="1" applyProtection="1">
      <alignment horizontal="center"/>
      <protection locked="0"/>
    </xf>
    <xf numFmtId="0" fontId="0" fillId="0" borderId="51" xfId="0" applyBorder="1" applyAlignment="1" applyProtection="1">
      <alignment horizontal="center"/>
      <protection locked="0"/>
    </xf>
    <xf numFmtId="0" fontId="0" fillId="0" borderId="52" xfId="0" applyBorder="1" applyAlignment="1" applyProtection="1">
      <alignment horizontal="center"/>
      <protection locked="0"/>
    </xf>
    <xf numFmtId="0" fontId="66" fillId="0" borderId="23" xfId="0" applyFont="1" applyBorder="1" applyAlignment="1">
      <alignment horizontal="left"/>
    </xf>
    <xf numFmtId="0" fontId="66" fillId="0" borderId="29" xfId="0" applyFont="1" applyBorder="1" applyAlignment="1">
      <alignment horizontal="left"/>
    </xf>
    <xf numFmtId="0" fontId="0" fillId="0" borderId="29"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24" xfId="0" applyBorder="1" applyAlignment="1">
      <alignment horizontal="center" wrapText="1"/>
    </xf>
    <xf numFmtId="0" fontId="0" fillId="0" borderId="17" xfId="0" applyBorder="1" applyAlignment="1">
      <alignment horizontal="center" wrapText="1"/>
    </xf>
    <xf numFmtId="0" fontId="0" fillId="0" borderId="50" xfId="0" applyBorder="1" applyAlignment="1">
      <alignment horizontal="center" wrapText="1"/>
    </xf>
    <xf numFmtId="0" fontId="0" fillId="0" borderId="52" xfId="0" applyBorder="1" applyAlignment="1">
      <alignment horizontal="center" wrapText="1"/>
    </xf>
    <xf numFmtId="0" fontId="0" fillId="0" borderId="25" xfId="0" applyBorder="1" applyProtection="1">
      <protection locked="0"/>
    </xf>
    <xf numFmtId="0" fontId="0" fillId="0" borderId="34" xfId="0" applyBorder="1" applyProtection="1">
      <protection locked="0"/>
    </xf>
    <xf numFmtId="0" fontId="0" fillId="0" borderId="53" xfId="0" applyBorder="1" applyProtection="1">
      <protection locked="0"/>
    </xf>
    <xf numFmtId="0" fontId="0" fillId="0" borderId="31" xfId="0" applyBorder="1" applyProtection="1">
      <protection locked="0"/>
    </xf>
    <xf numFmtId="0" fontId="0" fillId="0" borderId="54" xfId="0" applyBorder="1" applyProtection="1">
      <protection locked="0"/>
    </xf>
    <xf numFmtId="0" fontId="68" fillId="0" borderId="50" xfId="0" applyFont="1" applyBorder="1" applyAlignment="1">
      <alignment horizontal="center" wrapText="1"/>
    </xf>
    <xf numFmtId="0" fontId="68" fillId="0" borderId="52" xfId="0" applyFont="1" applyBorder="1" applyAlignment="1">
      <alignment horizontal="center" wrapText="1"/>
    </xf>
    <xf numFmtId="0" fontId="68" fillId="0" borderId="49" xfId="0" applyFont="1" applyBorder="1" applyAlignment="1">
      <alignment horizontal="center"/>
    </xf>
    <xf numFmtId="0" fontId="68" fillId="0" borderId="35" xfId="0" applyFont="1" applyBorder="1" applyAlignment="1">
      <alignment horizontal="center"/>
    </xf>
    <xf numFmtId="0" fontId="68" fillId="0" borderId="50" xfId="0" applyFont="1" applyBorder="1" applyAlignment="1">
      <alignment horizontal="center"/>
    </xf>
    <xf numFmtId="0" fontId="68" fillId="0" borderId="49" xfId="0" applyFont="1" applyBorder="1" applyAlignment="1">
      <alignment horizontal="center" wrapText="1"/>
    </xf>
    <xf numFmtId="0" fontId="67" fillId="0" borderId="0" xfId="0" applyFont="1" applyAlignment="1">
      <alignment horizontal="center" vertical="center"/>
    </xf>
    <xf numFmtId="0" fontId="68" fillId="0" borderId="23" xfId="0" applyFont="1" applyBorder="1" applyAlignment="1">
      <alignment horizontal="center" wrapText="1"/>
    </xf>
    <xf numFmtId="0" fontId="68" fillId="0" borderId="25" xfId="0" applyFont="1" applyBorder="1" applyAlignment="1">
      <alignment horizontal="center" wrapText="1"/>
    </xf>
    <xf numFmtId="0" fontId="68" fillId="0" borderId="50" xfId="0" applyFont="1" applyBorder="1"/>
    <xf numFmtId="0" fontId="68" fillId="0" borderId="51" xfId="0" applyFont="1" applyBorder="1" applyAlignment="1">
      <alignment horizontal="center" wrapText="1"/>
    </xf>
    <xf numFmtId="0" fontId="68" fillId="0" borderId="35" xfId="0" applyFont="1" applyBorder="1" applyAlignment="1">
      <alignment horizontal="center" wrapText="1"/>
    </xf>
    <xf numFmtId="0" fontId="68" fillId="0" borderId="9" xfId="0" applyFont="1" applyBorder="1" applyAlignment="1">
      <alignment horizontal="center" wrapText="1"/>
    </xf>
    <xf numFmtId="0" fontId="49" fillId="3" borderId="11" xfId="2" applyFont="1" applyFill="1" applyBorder="1" applyAlignment="1">
      <alignment horizontal="center" vertical="center" wrapText="1"/>
    </xf>
    <xf numFmtId="0" fontId="49" fillId="3" borderId="0" xfId="2" applyFont="1" applyFill="1" applyAlignment="1">
      <alignment horizontal="center" vertical="center" wrapText="1"/>
    </xf>
    <xf numFmtId="0" fontId="50" fillId="3" borderId="16" xfId="2" applyFont="1" applyFill="1" applyBorder="1" applyAlignment="1">
      <alignment horizontal="center" vertical="center" wrapText="1"/>
    </xf>
    <xf numFmtId="0" fontId="77" fillId="2" borderId="30" xfId="2" applyFont="1" applyFill="1" applyBorder="1" applyAlignment="1">
      <alignment horizontal="left" vertical="top" wrapText="1"/>
    </xf>
    <xf numFmtId="0" fontId="77" fillId="2" borderId="42" xfId="2" applyFont="1" applyFill="1" applyBorder="1" applyAlignment="1">
      <alignment horizontal="left" vertical="top" wrapText="1"/>
    </xf>
    <xf numFmtId="0" fontId="77" fillId="2" borderId="33" xfId="2" applyFont="1" applyFill="1" applyBorder="1" applyAlignment="1">
      <alignment horizontal="left" vertical="top" wrapText="1"/>
    </xf>
    <xf numFmtId="0" fontId="77" fillId="2" borderId="11" xfId="2" applyFont="1" applyFill="1" applyBorder="1" applyAlignment="1">
      <alignment horizontal="left" vertical="top" wrapText="1"/>
    </xf>
    <xf numFmtId="0" fontId="77" fillId="2" borderId="0" xfId="2" applyFont="1" applyFill="1" applyAlignment="1">
      <alignment horizontal="left" vertical="top" wrapText="1"/>
    </xf>
    <xf numFmtId="0" fontId="77" fillId="2" borderId="12" xfId="2" applyFont="1" applyFill="1" applyBorder="1" applyAlignment="1">
      <alignment horizontal="left" vertical="top" wrapText="1"/>
    </xf>
    <xf numFmtId="0" fontId="77" fillId="2" borderId="27" xfId="2" applyFont="1" applyFill="1" applyBorder="1" applyAlignment="1">
      <alignment horizontal="left" vertical="top" wrapText="1"/>
    </xf>
    <xf numFmtId="0" fontId="77" fillId="2" borderId="13" xfId="2" applyFont="1" applyFill="1" applyBorder="1" applyAlignment="1">
      <alignment horizontal="left" vertical="top" wrapText="1"/>
    </xf>
    <xf numFmtId="0" fontId="77" fillId="2" borderId="14" xfId="2" applyFont="1" applyFill="1" applyBorder="1" applyAlignment="1">
      <alignment horizontal="left" vertical="top" wrapText="1"/>
    </xf>
    <xf numFmtId="0" fontId="46" fillId="2" borderId="30" xfId="2" applyFont="1" applyFill="1" applyBorder="1" applyAlignment="1">
      <alignment wrapText="1"/>
    </xf>
    <xf numFmtId="0" fontId="46" fillId="2" borderId="42" xfId="2" applyFont="1" applyFill="1" applyBorder="1" applyAlignment="1">
      <alignment wrapText="1"/>
    </xf>
    <xf numFmtId="0" fontId="46" fillId="2" borderId="33" xfId="2" applyFont="1" applyFill="1" applyBorder="1" applyAlignment="1">
      <alignment wrapText="1"/>
    </xf>
    <xf numFmtId="0" fontId="46" fillId="2" borderId="27" xfId="2" applyFont="1" applyFill="1" applyBorder="1" applyAlignment="1">
      <alignment vertical="top" wrapText="1"/>
    </xf>
    <xf numFmtId="0" fontId="46" fillId="2" borderId="13" xfId="2" applyFont="1" applyFill="1" applyBorder="1" applyAlignment="1">
      <alignment vertical="top" wrapText="1"/>
    </xf>
    <xf numFmtId="0" fontId="46" fillId="2" borderId="14" xfId="2" applyFont="1" applyFill="1" applyBorder="1" applyAlignment="1">
      <alignment vertical="top" wrapText="1"/>
    </xf>
    <xf numFmtId="0" fontId="47" fillId="3" borderId="30" xfId="2" applyFont="1" applyFill="1" applyBorder="1" applyAlignment="1">
      <alignment horizontal="center" vertical="top" wrapText="1"/>
    </xf>
    <xf numFmtId="0" fontId="47" fillId="3" borderId="42" xfId="2" applyFont="1" applyFill="1" applyBorder="1" applyAlignment="1">
      <alignment horizontal="center" vertical="top" wrapText="1"/>
    </xf>
    <xf numFmtId="0" fontId="47" fillId="3" borderId="33" xfId="2" applyFont="1" applyFill="1" applyBorder="1" applyAlignment="1">
      <alignment horizontal="center" vertical="top" wrapText="1"/>
    </xf>
    <xf numFmtId="0" fontId="48" fillId="3" borderId="11" xfId="2" applyFont="1" applyFill="1" applyBorder="1" applyAlignment="1">
      <alignment horizontal="center" vertical="top" wrapText="1"/>
    </xf>
    <xf numFmtId="0" fontId="48" fillId="3" borderId="0" xfId="2" applyFont="1" applyFill="1" applyAlignment="1">
      <alignment horizontal="center" vertical="top" wrapText="1"/>
    </xf>
    <xf numFmtId="0" fontId="48" fillId="3" borderId="12" xfId="2" applyFont="1" applyFill="1" applyBorder="1" applyAlignment="1">
      <alignment horizontal="center" vertical="top" wrapText="1"/>
    </xf>
    <xf numFmtId="1" fontId="50" fillId="3" borderId="1" xfId="2" applyNumberFormat="1" applyFont="1" applyFill="1" applyBorder="1" applyAlignment="1">
      <alignment horizontal="center" vertical="center"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1" xfId="0" applyBorder="1" applyAlignment="1">
      <alignment horizontal="left" vertical="top"/>
    </xf>
    <xf numFmtId="0" fontId="0" fillId="0" borderId="8" xfId="0" applyBorder="1" applyAlignment="1">
      <alignment horizontal="left" vertical="top"/>
    </xf>
    <xf numFmtId="0" fontId="3" fillId="0" borderId="0" xfId="0" applyFont="1" applyAlignment="1">
      <alignment horizontal="left" wrapText="1"/>
    </xf>
    <xf numFmtId="0" fontId="1" fillId="0" borderId="7" xfId="0" applyFont="1" applyBorder="1" applyAlignment="1">
      <alignment horizontal="left"/>
    </xf>
    <xf numFmtId="0" fontId="1" fillId="0" borderId="1" xfId="0" applyFont="1" applyBorder="1" applyAlignment="1">
      <alignment horizontal="left"/>
    </xf>
    <xf numFmtId="0" fontId="1" fillId="0" borderId="8" xfId="0" applyFont="1" applyBorder="1" applyAlignment="1">
      <alignment horizontal="left"/>
    </xf>
    <xf numFmtId="0" fontId="0" fillId="0" borderId="19" xfId="0" applyBorder="1" applyAlignment="1">
      <alignment horizontal="center"/>
    </xf>
    <xf numFmtId="0" fontId="0" fillId="0" borderId="17" xfId="0" applyBorder="1" applyAlignment="1">
      <alignment horizontal="center"/>
    </xf>
    <xf numFmtId="0" fontId="0" fillId="0" borderId="16" xfId="0" applyBorder="1" applyAlignment="1">
      <alignment horizontal="center"/>
    </xf>
    <xf numFmtId="0" fontId="11" fillId="0" borderId="9" xfId="0" applyFont="1" applyBorder="1" applyAlignment="1">
      <alignment horizontal="center"/>
    </xf>
    <xf numFmtId="0" fontId="29" fillId="0" borderId="0" xfId="0" applyFont="1" applyAlignment="1">
      <alignment vertical="top" wrapText="1"/>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3" fillId="0" borderId="2"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3" fillId="0" borderId="16" xfId="0" applyFont="1" applyBorder="1" applyAlignment="1">
      <alignment horizontal="center"/>
    </xf>
    <xf numFmtId="0" fontId="4" fillId="0" borderId="0" xfId="0" applyFont="1" applyAlignment="1">
      <alignment horizontal="right"/>
    </xf>
    <xf numFmtId="0" fontId="4" fillId="0" borderId="1" xfId="0" applyFont="1" applyBorder="1" applyAlignment="1">
      <alignment horizontal="center"/>
    </xf>
    <xf numFmtId="0" fontId="3" fillId="0" borderId="0" xfId="0" applyFont="1" applyAlignment="1">
      <alignment horizontal="right"/>
    </xf>
    <xf numFmtId="0" fontId="4" fillId="0" borderId="1" xfId="0" applyFont="1" applyBorder="1" applyAlignment="1">
      <alignment horizontal="left"/>
    </xf>
    <xf numFmtId="0" fontId="3" fillId="0" borderId="1" xfId="0" applyFont="1" applyBorder="1" applyAlignment="1">
      <alignment horizontal="center"/>
    </xf>
    <xf numFmtId="0" fontId="3" fillId="0" borderId="0" xfId="0" applyFont="1" applyAlignment="1">
      <alignment horizontal="left"/>
    </xf>
    <xf numFmtId="0" fontId="3" fillId="0" borderId="0" xfId="0" applyFont="1" applyAlignment="1">
      <alignment horizontal="left" vertical="top" wrapText="1"/>
    </xf>
    <xf numFmtId="0" fontId="3" fillId="0" borderId="1" xfId="0" applyFont="1" applyBorder="1" applyAlignment="1">
      <alignment horizontal="left"/>
    </xf>
    <xf numFmtId="0" fontId="3" fillId="0" borderId="16" xfId="0" applyFont="1" applyBorder="1" applyAlignment="1">
      <alignment horizontal="left"/>
    </xf>
    <xf numFmtId="14" fontId="3" fillId="0" borderId="46" xfId="0" applyNumberFormat="1" applyFont="1" applyBorder="1" applyAlignment="1">
      <alignment horizontal="left"/>
    </xf>
    <xf numFmtId="14" fontId="3" fillId="0" borderId="48" xfId="0" applyNumberFormat="1" applyFont="1" applyBorder="1" applyAlignment="1">
      <alignment horizontal="left"/>
    </xf>
    <xf numFmtId="14" fontId="3" fillId="0" borderId="38" xfId="0" applyNumberFormat="1" applyFont="1" applyBorder="1" applyAlignment="1">
      <alignment horizontal="left"/>
    </xf>
    <xf numFmtId="0" fontId="3" fillId="0" borderId="46" xfId="0" applyFont="1" applyBorder="1" applyAlignment="1">
      <alignment horizontal="center"/>
    </xf>
    <xf numFmtId="0" fontId="3" fillId="0" borderId="48" xfId="0" applyFont="1" applyBorder="1" applyAlignment="1">
      <alignment horizontal="center"/>
    </xf>
    <xf numFmtId="0" fontId="3" fillId="0" borderId="38" xfId="0" applyFont="1" applyBorder="1" applyAlignment="1">
      <alignment horizontal="center"/>
    </xf>
    <xf numFmtId="0" fontId="3" fillId="0" borderId="25" xfId="0" applyFont="1" applyBorder="1" applyAlignment="1">
      <alignment horizontal="center"/>
    </xf>
    <xf numFmtId="0" fontId="3" fillId="0" borderId="34" xfId="0" applyFont="1" applyBorder="1" applyAlignment="1">
      <alignment horizontal="center"/>
    </xf>
    <xf numFmtId="0" fontId="3" fillId="0" borderId="3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14" fontId="3" fillId="0" borderId="25" xfId="0" applyNumberFormat="1" applyFont="1" applyBorder="1" applyAlignment="1">
      <alignment horizontal="left"/>
    </xf>
    <xf numFmtId="14" fontId="3" fillId="0" borderId="16" xfId="0" applyNumberFormat="1" applyFont="1" applyBorder="1" applyAlignment="1">
      <alignment horizontal="left"/>
    </xf>
    <xf numFmtId="14" fontId="3" fillId="0" borderId="34" xfId="0" applyNumberFormat="1" applyFont="1" applyBorder="1" applyAlignment="1">
      <alignment horizontal="left"/>
    </xf>
    <xf numFmtId="0" fontId="3" fillId="0" borderId="46" xfId="0" applyFont="1" applyBorder="1" applyAlignment="1">
      <alignment horizontal="left"/>
    </xf>
    <xf numFmtId="0" fontId="3" fillId="0" borderId="48"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0" borderId="34" xfId="0" applyFont="1" applyBorder="1" applyAlignment="1">
      <alignment horizontal="left"/>
    </xf>
    <xf numFmtId="0" fontId="3" fillId="0" borderId="49" xfId="0" applyFont="1" applyBorder="1" applyAlignment="1">
      <alignment horizontal="center" wrapText="1"/>
    </xf>
    <xf numFmtId="0" fontId="3" fillId="0" borderId="35" xfId="0" applyFont="1" applyBorder="1" applyAlignment="1">
      <alignment horizontal="center" wrapText="1"/>
    </xf>
    <xf numFmtId="0" fontId="3" fillId="0" borderId="50" xfId="0" applyFont="1" applyBorder="1" applyAlignment="1">
      <alignment horizontal="center" wrapText="1"/>
    </xf>
    <xf numFmtId="0" fontId="3" fillId="0" borderId="51" xfId="0" applyFont="1" applyBorder="1" applyAlignment="1">
      <alignment horizontal="center" wrapText="1"/>
    </xf>
    <xf numFmtId="0" fontId="3" fillId="0" borderId="9" xfId="0" applyFont="1" applyBorder="1" applyAlignment="1">
      <alignment horizontal="center" wrapText="1"/>
    </xf>
    <xf numFmtId="0" fontId="3" fillId="0" borderId="52" xfId="0" applyFont="1" applyBorder="1" applyAlignment="1">
      <alignment horizontal="center" wrapText="1"/>
    </xf>
    <xf numFmtId="0" fontId="3" fillId="0" borderId="4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9" xfId="0" applyFont="1" applyBorder="1" applyAlignment="1">
      <alignment horizontal="center" vertical="center"/>
    </xf>
    <xf numFmtId="0" fontId="3" fillId="0" borderId="35"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9" xfId="0" applyFont="1" applyBorder="1" applyAlignment="1">
      <alignment horizontal="center" vertical="center"/>
    </xf>
    <xf numFmtId="0" fontId="3" fillId="0" borderId="52" xfId="0" applyFont="1" applyBorder="1" applyAlignment="1">
      <alignment horizontal="center" vertical="center"/>
    </xf>
    <xf numFmtId="0" fontId="4" fillId="0" borderId="16" xfId="0" applyFont="1" applyBorder="1" applyAlignment="1">
      <alignment horizontal="center"/>
    </xf>
    <xf numFmtId="0" fontId="3" fillId="0" borderId="0" xfId="0" applyFont="1" applyAlignment="1">
      <alignment horizontal="center" wrapText="1"/>
    </xf>
    <xf numFmtId="0" fontId="3" fillId="0" borderId="1" xfId="0" applyFont="1" applyBorder="1" applyAlignment="1">
      <alignment horizontal="left" vertical="center"/>
    </xf>
    <xf numFmtId="0" fontId="3" fillId="0" borderId="16" xfId="0" applyFont="1" applyBorder="1" applyAlignment="1">
      <alignment horizontal="left" vertical="center"/>
    </xf>
  </cellXfs>
  <cellStyles count="5">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s>
  <dxfs count="18">
    <dxf>
      <font>
        <color theme="0"/>
      </font>
      <fill>
        <patternFill patternType="solid">
          <fgColor indexed="64"/>
          <bgColor rgb="FFFF0000"/>
        </patternFill>
      </fill>
    </dxf>
    <dxf>
      <fill>
        <patternFill>
          <bgColor rgb="FFFFFF00"/>
        </patternFill>
      </fill>
    </dxf>
    <dxf>
      <font>
        <color auto="1"/>
      </font>
      <fill>
        <patternFill>
          <bgColor rgb="FF00FF0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condense val="0"/>
        <extend val="0"/>
        <color indexed="50"/>
      </font>
    </dxf>
    <dxf>
      <font>
        <condense val="0"/>
        <extend val="0"/>
        <color auto="1"/>
      </font>
      <fill>
        <patternFill>
          <bgColor indexed="10"/>
        </patternFill>
      </fill>
    </dxf>
    <dxf>
      <font>
        <b/>
        <i val="0"/>
        <condense val="0"/>
        <extend val="0"/>
        <color auto="1"/>
      </font>
      <fill>
        <patternFill>
          <bgColor indexed="13"/>
        </patternFill>
      </fill>
    </dxf>
    <dxf>
      <font>
        <condense val="0"/>
        <extend val="0"/>
        <color auto="1"/>
      </font>
      <fill>
        <patternFill>
          <bgColor indexed="11"/>
        </patternFill>
      </fill>
    </dxf>
    <dxf>
      <fill>
        <patternFill>
          <bgColor indexed="10"/>
        </patternFill>
      </fill>
    </dxf>
    <dxf>
      <fill>
        <patternFill>
          <bgColor indexed="13"/>
        </patternFill>
      </fill>
    </dxf>
    <dxf>
      <fill>
        <patternFill>
          <bgColor indexed="11"/>
        </patternFill>
      </fill>
    </dxf>
    <dxf>
      <fill>
        <patternFill>
          <bgColor rgb="FF00FF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21.xml.rels><?xml version="1.0" encoding="UTF-8" standalone="yes"?>
<Relationships xmlns="http://schemas.openxmlformats.org/package/2006/relationships"><Relationship Id="rId1" Type="http://schemas.openxmlformats.org/officeDocument/2006/relationships/vmlDrawing" Target="../drawings/vmlDrawing30.vml"/></Relationships>
</file>

<file path=xl/charts/_rels/chart23.xml.rels><?xml version="1.0" encoding="UTF-8" standalone="yes"?>
<Relationships xmlns="http://schemas.openxmlformats.org/package/2006/relationships"><Relationship Id="rId1" Type="http://schemas.openxmlformats.org/officeDocument/2006/relationships/vmlDrawing" Target="../drawings/vmlDrawing32.v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82615444448066E-2"/>
          <c:y val="6.4102724616197454E-2"/>
          <c:w val="0.86315937355978201"/>
          <c:h val="0.82051487508732746"/>
        </c:manualLayout>
      </c:layout>
      <c:scatterChart>
        <c:scatterStyle val="smoothMarker"/>
        <c:varyColors val="0"/>
        <c:ser>
          <c:idx val="0"/>
          <c:order val="0"/>
          <c:tx>
            <c:strRef>
              <c:f>'8A. ATT BIAS(Analytic)'!$AG$3</c:f>
              <c:strCache>
                <c:ptCount val="1"/>
                <c:pt idx="0">
                  <c:v>P(pass)</c:v>
                </c:pt>
              </c:strCache>
            </c:strRef>
          </c:tx>
          <c:spPr>
            <a:ln w="12700">
              <a:solidFill>
                <a:srgbClr val="000080"/>
              </a:solidFill>
              <a:prstDash val="solid"/>
            </a:ln>
          </c:spPr>
          <c:marker>
            <c:symbol val="none"/>
          </c:marker>
          <c:xVal>
            <c:numRef>
              <c:f>'8A. ATT BIAS(Analytic)'!$AF$4:$AF$43</c:f>
              <c:numCache>
                <c:formatCode>General</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xVal>
          <c:yVal>
            <c:numRef>
              <c:f>'8A. ATT BIAS(Analytic)'!$AG$4:$AG$43</c:f>
              <c:numCache>
                <c:formatCode>0.00%</c:formatCode>
                <c:ptCount val="4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numCache>
            </c:numRef>
          </c:yVal>
          <c:smooth val="1"/>
          <c:extLst>
            <c:ext xmlns:c16="http://schemas.microsoft.com/office/drawing/2014/chart" uri="{C3380CC4-5D6E-409C-BE32-E72D297353CC}">
              <c16:uniqueId val="{00000000-C944-4909-84EE-2F5AC713191D}"/>
            </c:ext>
          </c:extLst>
        </c:ser>
        <c:ser>
          <c:idx val="1"/>
          <c:order val="1"/>
          <c:tx>
            <c:strRef>
              <c:f>'8A. ATT BIAS(Analytic)'!$AH$3</c:f>
              <c:strCache>
                <c:ptCount val="1"/>
                <c:pt idx="0">
                  <c:v>USL</c:v>
                </c:pt>
              </c:strCache>
            </c:strRef>
          </c:tx>
          <c:spPr>
            <a:ln w="12700">
              <a:solidFill>
                <a:srgbClr val="339933"/>
              </a:solidFill>
              <a:prstDash val="solid"/>
            </a:ln>
          </c:spPr>
          <c:marker>
            <c:symbol val="none"/>
          </c:marker>
          <c:xVal>
            <c:numRef>
              <c:f>'8A. ATT BIAS(Analytic)'!$AH$4:$AH$5</c:f>
              <c:numCache>
                <c:formatCode>0.000</c:formatCode>
                <c:ptCount val="2"/>
                <c:pt idx="0">
                  <c:v>0</c:v>
                </c:pt>
                <c:pt idx="1">
                  <c:v>0</c:v>
                </c:pt>
              </c:numCache>
            </c:numRef>
          </c:xVal>
          <c:yVal>
            <c:numRef>
              <c:f>'8A. ATT BIAS(Analytic)'!$AJ$4:$AJ$5</c:f>
              <c:numCache>
                <c:formatCode>General</c:formatCode>
                <c:ptCount val="2"/>
                <c:pt idx="0">
                  <c:v>0</c:v>
                </c:pt>
                <c:pt idx="1">
                  <c:v>1</c:v>
                </c:pt>
              </c:numCache>
            </c:numRef>
          </c:yVal>
          <c:smooth val="1"/>
          <c:extLst>
            <c:ext xmlns:c16="http://schemas.microsoft.com/office/drawing/2014/chart" uri="{C3380CC4-5D6E-409C-BE32-E72D297353CC}">
              <c16:uniqueId val="{00000001-C944-4909-84EE-2F5AC713191D}"/>
            </c:ext>
          </c:extLst>
        </c:ser>
        <c:ser>
          <c:idx val="2"/>
          <c:order val="2"/>
          <c:tx>
            <c:strRef>
              <c:f>'8A. ATT BIAS(Analytic)'!$AI$3</c:f>
              <c:strCache>
                <c:ptCount val="1"/>
                <c:pt idx="0">
                  <c:v>LSL</c:v>
                </c:pt>
              </c:strCache>
            </c:strRef>
          </c:tx>
          <c:spPr>
            <a:ln w="12700">
              <a:solidFill>
                <a:srgbClr val="339933"/>
              </a:solidFill>
              <a:prstDash val="solid"/>
            </a:ln>
          </c:spPr>
          <c:marker>
            <c:symbol val="none"/>
          </c:marker>
          <c:xVal>
            <c:numRef>
              <c:f>'8A. ATT BIAS(Analytic)'!$AI$4:$AI$5</c:f>
              <c:numCache>
                <c:formatCode>0.000</c:formatCode>
                <c:ptCount val="2"/>
                <c:pt idx="0">
                  <c:v>0</c:v>
                </c:pt>
                <c:pt idx="1">
                  <c:v>0</c:v>
                </c:pt>
              </c:numCache>
            </c:numRef>
          </c:xVal>
          <c:yVal>
            <c:numRef>
              <c:f>'8A. ATT BIAS(Analytic)'!$AJ$4:$AJ$5</c:f>
              <c:numCache>
                <c:formatCode>General</c:formatCode>
                <c:ptCount val="2"/>
                <c:pt idx="0">
                  <c:v>0</c:v>
                </c:pt>
                <c:pt idx="1">
                  <c:v>1</c:v>
                </c:pt>
              </c:numCache>
            </c:numRef>
          </c:yVal>
          <c:smooth val="1"/>
          <c:extLst>
            <c:ext xmlns:c16="http://schemas.microsoft.com/office/drawing/2014/chart" uri="{C3380CC4-5D6E-409C-BE32-E72D297353CC}">
              <c16:uniqueId val="{00000002-C944-4909-84EE-2F5AC713191D}"/>
            </c:ext>
          </c:extLst>
        </c:ser>
        <c:dLbls>
          <c:showLegendKey val="0"/>
          <c:showVal val="0"/>
          <c:showCatName val="0"/>
          <c:showSerName val="0"/>
          <c:showPercent val="0"/>
          <c:showBubbleSize val="0"/>
        </c:dLbls>
        <c:axId val="537275552"/>
        <c:axId val="1"/>
      </c:scatterChart>
      <c:valAx>
        <c:axId val="53727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max val="1"/>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3727555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1200"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Whiskers Chart - Appraiser B</a:t>
            </a:r>
          </a:p>
        </c:rich>
      </c:tx>
      <c:layout>
        <c:manualLayout>
          <c:xMode val="edge"/>
          <c:yMode val="edge"/>
          <c:x val="0.34818530265365355"/>
          <c:y val="4.1095890410958902E-2"/>
        </c:manualLayout>
      </c:layout>
      <c:overlay val="0"/>
      <c:spPr>
        <a:noFill/>
        <a:ln w="25400">
          <a:noFill/>
        </a:ln>
      </c:spPr>
    </c:title>
    <c:autoTitleDeleted val="0"/>
    <c:plotArea>
      <c:layout>
        <c:manualLayout>
          <c:layoutTarget val="inner"/>
          <c:xMode val="edge"/>
          <c:yMode val="edge"/>
          <c:x val="7.5907713083541356E-2"/>
          <c:y val="0.25570890281153152"/>
          <c:w val="0.88779020954228793"/>
          <c:h val="0.55708010969655075"/>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errBars>
            <c:errDir val="y"/>
            <c:errBarType val="both"/>
            <c:errValType val="cust"/>
            <c:noEndCap val="1"/>
            <c:plus>
              <c:numRef>
                <c:f>'8E. GR&amp;R Graphical'!$R$220:$AA$220</c:f>
                <c:numCache>
                  <c:formatCode>General</c:formatCode>
                  <c:ptCount val="10"/>
                  <c:pt idx="0">
                    <c:v>0</c:v>
                  </c:pt>
                  <c:pt idx="1">
                    <c:v>0</c:v>
                  </c:pt>
                  <c:pt idx="2">
                    <c:v>0</c:v>
                  </c:pt>
                  <c:pt idx="3">
                    <c:v>0</c:v>
                  </c:pt>
                  <c:pt idx="4">
                    <c:v>0</c:v>
                  </c:pt>
                  <c:pt idx="5">
                    <c:v>0</c:v>
                  </c:pt>
                  <c:pt idx="6">
                    <c:v>0</c:v>
                  </c:pt>
                  <c:pt idx="7">
                    <c:v>0</c:v>
                  </c:pt>
                  <c:pt idx="8">
                    <c:v>0</c:v>
                  </c:pt>
                  <c:pt idx="9">
                    <c:v>0</c:v>
                  </c:pt>
                </c:numCache>
              </c:numRef>
            </c:plus>
            <c:minus>
              <c:numRef>
                <c:f>'8E. GR&amp;R Graphical'!$R$222:$AA$222</c:f>
                <c:numCache>
                  <c:formatCode>General</c:formatCode>
                  <c:ptCount val="10"/>
                  <c:pt idx="0">
                    <c:v>0</c:v>
                  </c:pt>
                  <c:pt idx="1">
                    <c:v>0</c:v>
                  </c:pt>
                  <c:pt idx="2">
                    <c:v>0</c:v>
                  </c:pt>
                  <c:pt idx="3">
                    <c:v>0</c:v>
                  </c:pt>
                  <c:pt idx="4">
                    <c:v>0</c:v>
                  </c:pt>
                  <c:pt idx="5">
                    <c:v>0</c:v>
                  </c:pt>
                  <c:pt idx="6">
                    <c:v>0</c:v>
                  </c:pt>
                  <c:pt idx="7">
                    <c:v>0</c:v>
                  </c:pt>
                  <c:pt idx="8">
                    <c:v>0</c:v>
                  </c:pt>
                  <c:pt idx="9">
                    <c:v>0</c:v>
                  </c:pt>
                </c:numCache>
              </c:numRef>
            </c:minus>
            <c:spPr>
              <a:ln w="12700">
                <a:solidFill>
                  <a:srgbClr val="000000"/>
                </a:solidFill>
                <a:prstDash val="solid"/>
              </a:ln>
            </c:spPr>
          </c:errBars>
          <c:xVal>
            <c:numRef>
              <c:f>'8E. GR&amp;R Graphical'!$R$214:$AA$214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'8E. GR&amp;R Graphical'!$C$23:$L$23</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A211-4FBA-A382-A4D140CA3E39}"/>
            </c:ext>
          </c:extLst>
        </c:ser>
        <c:dLbls>
          <c:showLegendKey val="0"/>
          <c:showVal val="0"/>
          <c:showCatName val="0"/>
          <c:showSerName val="0"/>
          <c:showPercent val="0"/>
          <c:showBubbleSize val="0"/>
        </c:dLbls>
        <c:axId val="818331976"/>
        <c:axId val="1"/>
      </c:scatterChart>
      <c:valAx>
        <c:axId val="818331976"/>
        <c:scaling>
          <c:orientation val="minMax"/>
          <c:max val="10"/>
          <c:min val="1"/>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crossBetween val="midCat"/>
        <c:majorUnit val="1"/>
        <c:minorUnit val="1"/>
      </c:val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81833197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Whiskers Chart - Appraiser C</a:t>
            </a:r>
          </a:p>
        </c:rich>
      </c:tx>
      <c:layout>
        <c:manualLayout>
          <c:xMode val="edge"/>
          <c:yMode val="edge"/>
          <c:x val="0.34925906000880325"/>
          <c:y val="4.1095890410958902E-2"/>
        </c:manualLayout>
      </c:layout>
      <c:overlay val="0"/>
      <c:spPr>
        <a:noFill/>
        <a:ln w="25400">
          <a:noFill/>
        </a:ln>
      </c:spPr>
    </c:title>
    <c:autoTitleDeleted val="0"/>
    <c:plotArea>
      <c:layout>
        <c:manualLayout>
          <c:layoutTarget val="inner"/>
          <c:xMode val="edge"/>
          <c:yMode val="edge"/>
          <c:x val="7.5782598028371811E-2"/>
          <c:y val="0.25570890281153152"/>
          <c:w val="0.88797435515853063"/>
          <c:h val="0.55708010969655075"/>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errBars>
            <c:errDir val="y"/>
            <c:errBarType val="both"/>
            <c:errValType val="cust"/>
            <c:noEndCap val="0"/>
            <c:plus>
              <c:numRef>
                <c:f>'8E. GR&amp;R Graphical'!$R$224:$AA$224</c:f>
                <c:numCache>
                  <c:formatCode>General</c:formatCode>
                  <c:ptCount val="10"/>
                  <c:pt idx="0">
                    <c:v>0</c:v>
                  </c:pt>
                  <c:pt idx="1">
                    <c:v>0</c:v>
                  </c:pt>
                  <c:pt idx="2">
                    <c:v>0</c:v>
                  </c:pt>
                  <c:pt idx="3">
                    <c:v>0</c:v>
                  </c:pt>
                  <c:pt idx="4">
                    <c:v>0</c:v>
                  </c:pt>
                  <c:pt idx="5">
                    <c:v>0</c:v>
                  </c:pt>
                  <c:pt idx="6">
                    <c:v>0</c:v>
                  </c:pt>
                  <c:pt idx="7">
                    <c:v>0</c:v>
                  </c:pt>
                  <c:pt idx="8">
                    <c:v>0</c:v>
                  </c:pt>
                  <c:pt idx="9">
                    <c:v>0</c:v>
                  </c:pt>
                </c:numCache>
              </c:numRef>
            </c:plus>
            <c:minus>
              <c:numRef>
                <c:f>'8E. GR&amp;R Graphical'!$R$226:$AA$226</c:f>
                <c:numCache>
                  <c:formatCode>General</c:formatCode>
                  <c:ptCount val="10"/>
                  <c:pt idx="0">
                    <c:v>0</c:v>
                  </c:pt>
                  <c:pt idx="1">
                    <c:v>0</c:v>
                  </c:pt>
                  <c:pt idx="2">
                    <c:v>0</c:v>
                  </c:pt>
                  <c:pt idx="3">
                    <c:v>0</c:v>
                  </c:pt>
                  <c:pt idx="4">
                    <c:v>0</c:v>
                  </c:pt>
                  <c:pt idx="5">
                    <c:v>0</c:v>
                  </c:pt>
                  <c:pt idx="6">
                    <c:v>0</c:v>
                  </c:pt>
                  <c:pt idx="7">
                    <c:v>0</c:v>
                  </c:pt>
                  <c:pt idx="8">
                    <c:v>0</c:v>
                  </c:pt>
                  <c:pt idx="9">
                    <c:v>0</c:v>
                  </c:pt>
                </c:numCache>
              </c:numRef>
            </c:minus>
            <c:spPr>
              <a:ln w="12700">
                <a:solidFill>
                  <a:srgbClr val="000000"/>
                </a:solidFill>
                <a:prstDash val="solid"/>
              </a:ln>
            </c:spPr>
          </c:errBars>
          <c:xVal>
            <c:numRef>
              <c:f>'8E. GR&amp;R Graphical'!$R$214:$AA$214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'8E. GR&amp;R Graphical'!$C$28:$L$28</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E9ED-40C5-B875-ADAE4BF5B174}"/>
            </c:ext>
          </c:extLst>
        </c:ser>
        <c:dLbls>
          <c:showLegendKey val="0"/>
          <c:showVal val="0"/>
          <c:showCatName val="0"/>
          <c:showSerName val="0"/>
          <c:showPercent val="0"/>
          <c:showBubbleSize val="0"/>
        </c:dLbls>
        <c:axId val="818339192"/>
        <c:axId val="1"/>
      </c:scatterChart>
      <c:valAx>
        <c:axId val="818339192"/>
        <c:scaling>
          <c:orientation val="minMax"/>
          <c:max val="10"/>
          <c:min val="1"/>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crossBetween val="midCat"/>
        <c:majorUnit val="1"/>
        <c:minorUnit val="1"/>
      </c:val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818339192"/>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Error Chart</a:t>
            </a:r>
          </a:p>
        </c:rich>
      </c:tx>
      <c:layout>
        <c:manualLayout>
          <c:xMode val="edge"/>
          <c:yMode val="edge"/>
          <c:x val="0.40961925853018377"/>
          <c:y val="3.5598705501618123E-2"/>
        </c:manualLayout>
      </c:layout>
      <c:overlay val="0"/>
      <c:spPr>
        <a:noFill/>
        <a:ln w="25400">
          <a:noFill/>
        </a:ln>
      </c:spPr>
    </c:title>
    <c:autoTitleDeleted val="0"/>
    <c:plotArea>
      <c:layout>
        <c:manualLayout>
          <c:layoutTarget val="inner"/>
          <c:xMode val="edge"/>
          <c:yMode val="edge"/>
          <c:x val="8.7894006358193347E-2"/>
          <c:y val="0.23301044514324543"/>
          <c:w val="0.88889032845267224"/>
          <c:h val="0.59870739377083892"/>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'8E. GR&amp;R Graphical'!$Q$256:$BI$256</c:f>
              <c:strCache>
                <c:ptCount val="41"/>
                <c:pt idx="4">
                  <c:v>Part 1</c:v>
                </c:pt>
                <c:pt idx="13">
                  <c:v>Part 2</c:v>
                </c:pt>
                <c:pt idx="22">
                  <c:v>Part 3</c:v>
                </c:pt>
                <c:pt idx="31">
                  <c:v>Part 4</c:v>
                </c:pt>
                <c:pt idx="40">
                  <c:v>Part 5</c:v>
                </c:pt>
              </c:strCache>
            </c:strRef>
          </c:cat>
          <c:val>
            <c:numRef>
              <c:f>'8E. GR&amp;R Graphical'!$Q$258:$BI$258</c:f>
              <c:numCache>
                <c:formatCode>General</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C012-4B51-BFD7-EB75E7F35D10}"/>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cat>
            <c:strRef>
              <c:f>'8E. GR&amp;R Graphical'!$Q$256:$BI$256</c:f>
              <c:strCache>
                <c:ptCount val="41"/>
                <c:pt idx="4">
                  <c:v>Part 1</c:v>
                </c:pt>
                <c:pt idx="13">
                  <c:v>Part 2</c:v>
                </c:pt>
                <c:pt idx="22">
                  <c:v>Part 3</c:v>
                </c:pt>
                <c:pt idx="31">
                  <c:v>Part 4</c:v>
                </c:pt>
                <c:pt idx="40">
                  <c:v>Part 5</c:v>
                </c:pt>
              </c:strCache>
            </c:strRef>
          </c:cat>
          <c:val>
            <c:numRef>
              <c:f>'8E. GR&amp;R Graphical'!$Q$259:$BI$259</c:f>
              <c:numCache>
                <c:formatCode>General</c:formatCode>
                <c:ptCount val="45"/>
                <c:pt idx="3">
                  <c:v>0</c:v>
                </c:pt>
                <c:pt idx="4">
                  <c:v>0</c:v>
                </c:pt>
                <c:pt idx="5">
                  <c:v>0</c:v>
                </c:pt>
                <c:pt idx="12">
                  <c:v>0</c:v>
                </c:pt>
                <c:pt idx="13">
                  <c:v>0</c:v>
                </c:pt>
                <c:pt idx="14">
                  <c:v>0</c:v>
                </c:pt>
                <c:pt idx="21">
                  <c:v>0</c:v>
                </c:pt>
                <c:pt idx="22">
                  <c:v>0</c:v>
                </c:pt>
                <c:pt idx="23">
                  <c:v>0</c:v>
                </c:pt>
                <c:pt idx="30">
                  <c:v>0</c:v>
                </c:pt>
                <c:pt idx="31">
                  <c:v>0</c:v>
                </c:pt>
                <c:pt idx="32">
                  <c:v>0</c:v>
                </c:pt>
                <c:pt idx="39">
                  <c:v>0</c:v>
                </c:pt>
                <c:pt idx="40">
                  <c:v>0</c:v>
                </c:pt>
                <c:pt idx="41">
                  <c:v>0</c:v>
                </c:pt>
              </c:numCache>
            </c:numRef>
          </c:val>
          <c:smooth val="0"/>
          <c:extLst>
            <c:ext xmlns:c16="http://schemas.microsoft.com/office/drawing/2014/chart" uri="{C3380CC4-5D6E-409C-BE32-E72D297353CC}">
              <c16:uniqueId val="{00000001-C012-4B51-BFD7-EB75E7F35D10}"/>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cat>
            <c:strRef>
              <c:f>'8E. GR&amp;R Graphical'!$Q$256:$BI$256</c:f>
              <c:strCache>
                <c:ptCount val="41"/>
                <c:pt idx="4">
                  <c:v>Part 1</c:v>
                </c:pt>
                <c:pt idx="13">
                  <c:v>Part 2</c:v>
                </c:pt>
                <c:pt idx="22">
                  <c:v>Part 3</c:v>
                </c:pt>
                <c:pt idx="31">
                  <c:v>Part 4</c:v>
                </c:pt>
                <c:pt idx="40">
                  <c:v>Part 5</c:v>
                </c:pt>
              </c:strCache>
            </c:strRef>
          </c:cat>
          <c:val>
            <c:numRef>
              <c:f>'8E. GR&amp;R Graphical'!$Q$260:$BI$260</c:f>
              <c:numCache>
                <c:formatCode>General</c:formatCode>
                <c:ptCount val="45"/>
                <c:pt idx="6">
                  <c:v>0</c:v>
                </c:pt>
                <c:pt idx="7">
                  <c:v>0</c:v>
                </c:pt>
                <c:pt idx="8">
                  <c:v>0</c:v>
                </c:pt>
                <c:pt idx="15">
                  <c:v>0</c:v>
                </c:pt>
                <c:pt idx="16">
                  <c:v>0</c:v>
                </c:pt>
                <c:pt idx="17">
                  <c:v>0</c:v>
                </c:pt>
                <c:pt idx="24">
                  <c:v>0</c:v>
                </c:pt>
                <c:pt idx="25">
                  <c:v>0</c:v>
                </c:pt>
                <c:pt idx="26">
                  <c:v>0</c:v>
                </c:pt>
                <c:pt idx="33">
                  <c:v>0</c:v>
                </c:pt>
                <c:pt idx="34">
                  <c:v>0</c:v>
                </c:pt>
                <c:pt idx="35">
                  <c:v>0</c:v>
                </c:pt>
                <c:pt idx="42">
                  <c:v>0</c:v>
                </c:pt>
                <c:pt idx="43">
                  <c:v>0</c:v>
                </c:pt>
                <c:pt idx="44">
                  <c:v>0</c:v>
                </c:pt>
              </c:numCache>
            </c:numRef>
          </c:val>
          <c:smooth val="0"/>
          <c:extLst>
            <c:ext xmlns:c16="http://schemas.microsoft.com/office/drawing/2014/chart" uri="{C3380CC4-5D6E-409C-BE32-E72D297353CC}">
              <c16:uniqueId val="{00000002-C012-4B51-BFD7-EB75E7F35D10}"/>
            </c:ext>
          </c:extLst>
        </c:ser>
        <c:dLbls>
          <c:showLegendKey val="0"/>
          <c:showVal val="0"/>
          <c:showCatName val="0"/>
          <c:showSerName val="0"/>
          <c:showPercent val="0"/>
          <c:showBubbleSize val="0"/>
        </c:dLbls>
        <c:marker val="1"/>
        <c:smooth val="0"/>
        <c:axId val="818340504"/>
        <c:axId val="1"/>
      </c:lineChart>
      <c:catAx>
        <c:axId val="818340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3405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Error Chart</a:t>
            </a:r>
          </a:p>
        </c:rich>
      </c:tx>
      <c:layout>
        <c:manualLayout>
          <c:xMode val="edge"/>
          <c:yMode val="edge"/>
          <c:x val="0.40894075448057293"/>
          <c:y val="3.5483870967741936E-2"/>
        </c:manualLayout>
      </c:layout>
      <c:overlay val="0"/>
      <c:spPr>
        <a:noFill/>
        <a:ln w="25400">
          <a:noFill/>
        </a:ln>
      </c:spPr>
    </c:title>
    <c:autoTitleDeleted val="0"/>
    <c:plotArea>
      <c:layout>
        <c:manualLayout>
          <c:layoutTarget val="inner"/>
          <c:xMode val="edge"/>
          <c:yMode val="edge"/>
          <c:x val="8.7748415307791247E-2"/>
          <c:y val="0.23225843034656998"/>
          <c:w val="0.88907356642045088"/>
          <c:h val="0.58064607586642492"/>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'8E. GR&amp;R Graphical'!$Q$262:$BI$262</c:f>
              <c:strCache>
                <c:ptCount val="41"/>
                <c:pt idx="4">
                  <c:v>Part 6</c:v>
                </c:pt>
                <c:pt idx="13">
                  <c:v>Part 7</c:v>
                </c:pt>
                <c:pt idx="22">
                  <c:v>Part 8</c:v>
                </c:pt>
                <c:pt idx="31">
                  <c:v>Part 9</c:v>
                </c:pt>
                <c:pt idx="40">
                  <c:v>Part 10</c:v>
                </c:pt>
              </c:strCache>
            </c:strRef>
          </c:cat>
          <c:val>
            <c:numRef>
              <c:f>'8E. GR&amp;R Graphical'!$Q$264:$BI$264</c:f>
              <c:numCache>
                <c:formatCode>General</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1585-489A-9ACB-DE1EA049EF43}"/>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cat>
            <c:strRef>
              <c:f>'8E. GR&amp;R Graphical'!$Q$262:$BI$262</c:f>
              <c:strCache>
                <c:ptCount val="41"/>
                <c:pt idx="4">
                  <c:v>Part 6</c:v>
                </c:pt>
                <c:pt idx="13">
                  <c:v>Part 7</c:v>
                </c:pt>
                <c:pt idx="22">
                  <c:v>Part 8</c:v>
                </c:pt>
                <c:pt idx="31">
                  <c:v>Part 9</c:v>
                </c:pt>
                <c:pt idx="40">
                  <c:v>Part 10</c:v>
                </c:pt>
              </c:strCache>
            </c:strRef>
          </c:cat>
          <c:val>
            <c:numRef>
              <c:f>'8E. GR&amp;R Graphical'!$Q$265:$BI$265</c:f>
              <c:numCache>
                <c:formatCode>General</c:formatCode>
                <c:ptCount val="45"/>
                <c:pt idx="3">
                  <c:v>0</c:v>
                </c:pt>
                <c:pt idx="4">
                  <c:v>0</c:v>
                </c:pt>
                <c:pt idx="5">
                  <c:v>0</c:v>
                </c:pt>
                <c:pt idx="12">
                  <c:v>0</c:v>
                </c:pt>
                <c:pt idx="13">
                  <c:v>0</c:v>
                </c:pt>
                <c:pt idx="14">
                  <c:v>0</c:v>
                </c:pt>
                <c:pt idx="21">
                  <c:v>0</c:v>
                </c:pt>
                <c:pt idx="22">
                  <c:v>0</c:v>
                </c:pt>
                <c:pt idx="23">
                  <c:v>0</c:v>
                </c:pt>
                <c:pt idx="30">
                  <c:v>0</c:v>
                </c:pt>
                <c:pt idx="31">
                  <c:v>0</c:v>
                </c:pt>
                <c:pt idx="32">
                  <c:v>0</c:v>
                </c:pt>
                <c:pt idx="39">
                  <c:v>0</c:v>
                </c:pt>
                <c:pt idx="40">
                  <c:v>0</c:v>
                </c:pt>
                <c:pt idx="41">
                  <c:v>0</c:v>
                </c:pt>
              </c:numCache>
            </c:numRef>
          </c:val>
          <c:smooth val="0"/>
          <c:extLst>
            <c:ext xmlns:c16="http://schemas.microsoft.com/office/drawing/2014/chart" uri="{C3380CC4-5D6E-409C-BE32-E72D297353CC}">
              <c16:uniqueId val="{00000001-1585-489A-9ACB-DE1EA049EF43}"/>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cat>
            <c:strRef>
              <c:f>'8E. GR&amp;R Graphical'!$Q$262:$BI$262</c:f>
              <c:strCache>
                <c:ptCount val="41"/>
                <c:pt idx="4">
                  <c:v>Part 6</c:v>
                </c:pt>
                <c:pt idx="13">
                  <c:v>Part 7</c:v>
                </c:pt>
                <c:pt idx="22">
                  <c:v>Part 8</c:v>
                </c:pt>
                <c:pt idx="31">
                  <c:v>Part 9</c:v>
                </c:pt>
                <c:pt idx="40">
                  <c:v>Part 10</c:v>
                </c:pt>
              </c:strCache>
            </c:strRef>
          </c:cat>
          <c:val>
            <c:numRef>
              <c:f>'8E. GR&amp;R Graphical'!$Q$266:$BI$266</c:f>
              <c:numCache>
                <c:formatCode>General</c:formatCode>
                <c:ptCount val="45"/>
                <c:pt idx="6">
                  <c:v>0</c:v>
                </c:pt>
                <c:pt idx="7">
                  <c:v>0</c:v>
                </c:pt>
                <c:pt idx="8">
                  <c:v>0</c:v>
                </c:pt>
                <c:pt idx="15">
                  <c:v>0</c:v>
                </c:pt>
                <c:pt idx="16">
                  <c:v>0</c:v>
                </c:pt>
                <c:pt idx="17">
                  <c:v>0</c:v>
                </c:pt>
                <c:pt idx="24">
                  <c:v>0</c:v>
                </c:pt>
                <c:pt idx="25">
                  <c:v>0</c:v>
                </c:pt>
                <c:pt idx="26">
                  <c:v>0</c:v>
                </c:pt>
                <c:pt idx="33">
                  <c:v>0</c:v>
                </c:pt>
                <c:pt idx="34">
                  <c:v>0</c:v>
                </c:pt>
                <c:pt idx="35">
                  <c:v>0</c:v>
                </c:pt>
                <c:pt idx="42">
                  <c:v>0</c:v>
                </c:pt>
                <c:pt idx="43">
                  <c:v>0</c:v>
                </c:pt>
                <c:pt idx="44">
                  <c:v>0</c:v>
                </c:pt>
              </c:numCache>
            </c:numRef>
          </c:val>
          <c:smooth val="0"/>
          <c:extLst>
            <c:ext xmlns:c16="http://schemas.microsoft.com/office/drawing/2014/chart" uri="{C3380CC4-5D6E-409C-BE32-E72D297353CC}">
              <c16:uniqueId val="{00000002-1585-489A-9ACB-DE1EA049EF43}"/>
            </c:ext>
          </c:extLst>
        </c:ser>
        <c:dLbls>
          <c:showLegendKey val="0"/>
          <c:showVal val="0"/>
          <c:showCatName val="0"/>
          <c:showSerName val="0"/>
          <c:showPercent val="0"/>
          <c:showBubbleSize val="0"/>
        </c:dLbls>
        <c:marker val="1"/>
        <c:smooth val="0"/>
        <c:axId val="818341816"/>
        <c:axId val="1"/>
      </c:lineChart>
      <c:catAx>
        <c:axId val="818341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34181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Normalized Histogram - Error</a:t>
            </a:r>
          </a:p>
        </c:rich>
      </c:tx>
      <c:layout>
        <c:manualLayout>
          <c:xMode val="edge"/>
          <c:yMode val="edge"/>
          <c:x val="0.32784206322035836"/>
          <c:y val="4.1666729457860825E-2"/>
        </c:manualLayout>
      </c:layout>
      <c:overlay val="0"/>
      <c:spPr>
        <a:noFill/>
        <a:ln w="25400">
          <a:noFill/>
        </a:ln>
      </c:spPr>
    </c:title>
    <c:autoTitleDeleted val="0"/>
    <c:plotArea>
      <c:layout>
        <c:manualLayout>
          <c:layoutTarget val="inner"/>
          <c:xMode val="edge"/>
          <c:yMode val="edge"/>
          <c:x val="6.5897911329018968E-2"/>
          <c:y val="0.28240868421171611"/>
          <c:w val="0.80395451821403141"/>
          <c:h val="0.49074295944986729"/>
        </c:manualLayout>
      </c:layout>
      <c:barChart>
        <c:barDir val="col"/>
        <c:grouping val="clustered"/>
        <c:varyColors val="0"/>
        <c:ser>
          <c:idx val="0"/>
          <c:order val="0"/>
          <c:tx>
            <c:strRef>
              <c:f>'8E. GR&amp;R Graphical'!$Q$300</c:f>
              <c:strCache>
                <c:ptCount val="1"/>
                <c:pt idx="0">
                  <c:v>Appr A</c:v>
                </c:pt>
              </c:strCache>
            </c:strRef>
          </c:tx>
          <c:spPr>
            <a:solidFill>
              <a:srgbClr val="8080FF"/>
            </a:solidFill>
            <a:ln w="12700">
              <a:solidFill>
                <a:srgbClr val="000000"/>
              </a:solidFill>
              <a:prstDash val="solid"/>
            </a:ln>
          </c:spPr>
          <c:invertIfNegative val="0"/>
          <c:cat>
            <c:numRef>
              <c:f>'8E. GR&amp;R Graphical'!$R$299:$AL$299</c:f>
              <c:numCache>
                <c:formatCode>0.00</c:formatCode>
                <c:ptCount val="21"/>
                <c:pt idx="0">
                  <c:v>-1</c:v>
                </c:pt>
                <c:pt idx="1">
                  <c:v>-0.9</c:v>
                </c:pt>
                <c:pt idx="2">
                  <c:v>-0.8</c:v>
                </c:pt>
                <c:pt idx="3">
                  <c:v>-0.70000000000000007</c:v>
                </c:pt>
                <c:pt idx="4">
                  <c:v>-0.60000000000000009</c:v>
                </c:pt>
                <c:pt idx="5">
                  <c:v>-0.50000000000000011</c:v>
                </c:pt>
                <c:pt idx="6">
                  <c:v>-0.40000000000000013</c:v>
                </c:pt>
                <c:pt idx="7">
                  <c:v>-0.30000000000000016</c:v>
                </c:pt>
                <c:pt idx="8">
                  <c:v>-0.20000000000000015</c:v>
                </c:pt>
                <c:pt idx="9">
                  <c:v>-0.10000000000000014</c:v>
                </c:pt>
                <c:pt idx="10">
                  <c:v>-1.3877787807814457E-16</c:v>
                </c:pt>
                <c:pt idx="11">
                  <c:v>9.9999999999999867E-2</c:v>
                </c:pt>
                <c:pt idx="12">
                  <c:v>0.19999999999999987</c:v>
                </c:pt>
                <c:pt idx="13">
                  <c:v>0.29999999999999988</c:v>
                </c:pt>
                <c:pt idx="14">
                  <c:v>0.39999999999999991</c:v>
                </c:pt>
                <c:pt idx="15">
                  <c:v>0.49999999999999989</c:v>
                </c:pt>
                <c:pt idx="16">
                  <c:v>0.59999999999999987</c:v>
                </c:pt>
                <c:pt idx="17">
                  <c:v>0.69999999999999984</c:v>
                </c:pt>
                <c:pt idx="18">
                  <c:v>0.79999999999999982</c:v>
                </c:pt>
                <c:pt idx="19">
                  <c:v>0.8999999999999998</c:v>
                </c:pt>
                <c:pt idx="20">
                  <c:v>0.99999999999999978</c:v>
                </c:pt>
              </c:numCache>
            </c:numRef>
          </c:cat>
          <c:val>
            <c:numRef>
              <c:f>'8E. GR&amp;R Graphical'!$R$300:$AL$300</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4AD5-431E-995E-AB24C015546B}"/>
            </c:ext>
          </c:extLst>
        </c:ser>
        <c:dLbls>
          <c:showLegendKey val="0"/>
          <c:showVal val="0"/>
          <c:showCatName val="0"/>
          <c:showSerName val="0"/>
          <c:showPercent val="0"/>
          <c:showBubbleSize val="0"/>
        </c:dLbls>
        <c:gapWidth val="0"/>
        <c:axId val="818337880"/>
        <c:axId val="1"/>
      </c:barChart>
      <c:catAx>
        <c:axId val="818337880"/>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818337880"/>
        <c:crosses val="autoZero"/>
        <c:crossBetween val="between"/>
      </c:valAx>
      <c:spPr>
        <a:noFill/>
        <a:ln w="12700">
          <a:solidFill>
            <a:srgbClr val="808080"/>
          </a:solidFill>
          <a:prstDash val="solid"/>
        </a:ln>
      </c:spPr>
    </c:plotArea>
    <c:legend>
      <c:legendPos val="r"/>
      <c:layout>
        <c:manualLayout>
          <c:xMode val="edge"/>
          <c:yMode val="edge"/>
          <c:wMode val="edge"/>
          <c:hMode val="edge"/>
          <c:x val="0.88138455519147063"/>
          <c:y val="0.46296500018837361"/>
          <c:w val="0.98682121256582056"/>
          <c:h val="0.56481734041618004"/>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4"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Normalized Histogram -  Error</a:t>
            </a:r>
          </a:p>
        </c:rich>
      </c:tx>
      <c:layout>
        <c:manualLayout>
          <c:xMode val="edge"/>
          <c:yMode val="edge"/>
          <c:x val="0.30921060448839249"/>
          <c:y val="4.0358705161854767E-2"/>
        </c:manualLayout>
      </c:layout>
      <c:overlay val="0"/>
      <c:spPr>
        <a:noFill/>
        <a:ln w="25400">
          <a:noFill/>
        </a:ln>
      </c:spPr>
    </c:title>
    <c:autoTitleDeleted val="0"/>
    <c:plotArea>
      <c:layout>
        <c:manualLayout>
          <c:layoutTarget val="inner"/>
          <c:xMode val="edge"/>
          <c:yMode val="edge"/>
          <c:x val="6.5789473684210523E-2"/>
          <c:y val="0.28251182935080349"/>
          <c:w val="0.80427631578947367"/>
          <c:h val="0.49775893742760613"/>
        </c:manualLayout>
      </c:layout>
      <c:barChart>
        <c:barDir val="col"/>
        <c:grouping val="clustered"/>
        <c:varyColors val="0"/>
        <c:ser>
          <c:idx val="0"/>
          <c:order val="0"/>
          <c:tx>
            <c:strRef>
              <c:f>'8E. GR&amp;R Graphical'!$Q$301</c:f>
              <c:strCache>
                <c:ptCount val="1"/>
                <c:pt idx="0">
                  <c:v>Appr B</c:v>
                </c:pt>
              </c:strCache>
            </c:strRef>
          </c:tx>
          <c:spPr>
            <a:solidFill>
              <a:srgbClr val="339933"/>
            </a:solidFill>
            <a:ln w="12700">
              <a:solidFill>
                <a:srgbClr val="000000"/>
              </a:solidFill>
              <a:prstDash val="solid"/>
            </a:ln>
          </c:spPr>
          <c:invertIfNegative val="0"/>
          <c:cat>
            <c:numRef>
              <c:f>'8E. GR&amp;R Graphical'!$R$299:$AL$299</c:f>
              <c:numCache>
                <c:formatCode>0.00</c:formatCode>
                <c:ptCount val="21"/>
                <c:pt idx="0">
                  <c:v>-1</c:v>
                </c:pt>
                <c:pt idx="1">
                  <c:v>-0.9</c:v>
                </c:pt>
                <c:pt idx="2">
                  <c:v>-0.8</c:v>
                </c:pt>
                <c:pt idx="3">
                  <c:v>-0.70000000000000007</c:v>
                </c:pt>
                <c:pt idx="4">
                  <c:v>-0.60000000000000009</c:v>
                </c:pt>
                <c:pt idx="5">
                  <c:v>-0.50000000000000011</c:v>
                </c:pt>
                <c:pt idx="6">
                  <c:v>-0.40000000000000013</c:v>
                </c:pt>
                <c:pt idx="7">
                  <c:v>-0.30000000000000016</c:v>
                </c:pt>
                <c:pt idx="8">
                  <c:v>-0.20000000000000015</c:v>
                </c:pt>
                <c:pt idx="9">
                  <c:v>-0.10000000000000014</c:v>
                </c:pt>
                <c:pt idx="10">
                  <c:v>-1.3877787807814457E-16</c:v>
                </c:pt>
                <c:pt idx="11">
                  <c:v>9.9999999999999867E-2</c:v>
                </c:pt>
                <c:pt idx="12">
                  <c:v>0.19999999999999987</c:v>
                </c:pt>
                <c:pt idx="13">
                  <c:v>0.29999999999999988</c:v>
                </c:pt>
                <c:pt idx="14">
                  <c:v>0.39999999999999991</c:v>
                </c:pt>
                <c:pt idx="15">
                  <c:v>0.49999999999999989</c:v>
                </c:pt>
                <c:pt idx="16">
                  <c:v>0.59999999999999987</c:v>
                </c:pt>
                <c:pt idx="17">
                  <c:v>0.69999999999999984</c:v>
                </c:pt>
                <c:pt idx="18">
                  <c:v>0.79999999999999982</c:v>
                </c:pt>
                <c:pt idx="19">
                  <c:v>0.8999999999999998</c:v>
                </c:pt>
                <c:pt idx="20">
                  <c:v>0.99999999999999978</c:v>
                </c:pt>
              </c:numCache>
            </c:numRef>
          </c:cat>
          <c:val>
            <c:numRef>
              <c:f>'8E. GR&amp;R Graphical'!$R$301:$AL$301</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ABAE-4E31-9D52-B45C694355EE}"/>
            </c:ext>
          </c:extLst>
        </c:ser>
        <c:dLbls>
          <c:showLegendKey val="0"/>
          <c:showVal val="0"/>
          <c:showCatName val="0"/>
          <c:showSerName val="0"/>
          <c:showPercent val="0"/>
          <c:showBubbleSize val="0"/>
        </c:dLbls>
        <c:gapWidth val="0"/>
        <c:axId val="818345424"/>
        <c:axId val="1"/>
      </c:barChart>
      <c:catAx>
        <c:axId val="818345424"/>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5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18345424"/>
        <c:crosses val="autoZero"/>
        <c:crossBetween val="between"/>
      </c:valAx>
      <c:spPr>
        <a:noFill/>
        <a:ln w="12700">
          <a:solidFill>
            <a:srgbClr val="808080"/>
          </a:solidFill>
          <a:prstDash val="solid"/>
        </a:ln>
      </c:spPr>
    </c:plotArea>
    <c:legend>
      <c:legendPos val="r"/>
      <c:layout>
        <c:manualLayout>
          <c:xMode val="edge"/>
          <c:yMode val="edge"/>
          <c:wMode val="edge"/>
          <c:hMode val="edge"/>
          <c:x val="0.8832236668090907"/>
          <c:y val="0.47982161951978225"/>
          <c:w val="0.98848676473580332"/>
          <c:h val="0.57847671818800428"/>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50" b="1" i="0" u="none" strike="noStrike" baseline="0">
                <a:solidFill>
                  <a:srgbClr val="000000"/>
                </a:solidFill>
                <a:latin typeface="Arial"/>
                <a:ea typeface="Arial"/>
                <a:cs typeface="Arial"/>
              </a:defRPr>
            </a:pPr>
            <a:r>
              <a:rPr lang="en-US"/>
              <a:t>Normalized Histogram - Error</a:t>
            </a:r>
          </a:p>
        </c:rich>
      </c:tx>
      <c:layout>
        <c:manualLayout>
          <c:xMode val="edge"/>
          <c:yMode val="edge"/>
          <c:x val="0.32730269181468596"/>
          <c:y val="4.1667152717021483E-2"/>
        </c:manualLayout>
      </c:layout>
      <c:overlay val="0"/>
      <c:spPr>
        <a:noFill/>
        <a:ln w="25400">
          <a:noFill/>
        </a:ln>
      </c:spPr>
    </c:title>
    <c:autoTitleDeleted val="0"/>
    <c:plotArea>
      <c:layout>
        <c:manualLayout>
          <c:layoutTarget val="inner"/>
          <c:xMode val="edge"/>
          <c:yMode val="edge"/>
          <c:x val="6.5789473684210523E-2"/>
          <c:y val="0.28240868421171611"/>
          <c:w val="0.81743421052631582"/>
          <c:h val="0.49074295944986729"/>
        </c:manualLayout>
      </c:layout>
      <c:barChart>
        <c:barDir val="col"/>
        <c:grouping val="clustered"/>
        <c:varyColors val="0"/>
        <c:ser>
          <c:idx val="0"/>
          <c:order val="0"/>
          <c:tx>
            <c:strRef>
              <c:f>'8E. GR&amp;R Graphical'!$Q$302</c:f>
              <c:strCache>
                <c:ptCount val="1"/>
                <c:pt idx="0">
                  <c:v>Appr C</c:v>
                </c:pt>
              </c:strCache>
            </c:strRef>
          </c:tx>
          <c:spPr>
            <a:solidFill>
              <a:srgbClr val="FF0000"/>
            </a:solidFill>
            <a:ln w="12700">
              <a:solidFill>
                <a:srgbClr val="000000"/>
              </a:solidFill>
              <a:prstDash val="solid"/>
            </a:ln>
          </c:spPr>
          <c:invertIfNegative val="0"/>
          <c:cat>
            <c:numRef>
              <c:f>'8E. GR&amp;R Graphical'!$R$299:$AL$299</c:f>
              <c:numCache>
                <c:formatCode>0.00</c:formatCode>
                <c:ptCount val="21"/>
                <c:pt idx="0">
                  <c:v>-1</c:v>
                </c:pt>
                <c:pt idx="1">
                  <c:v>-0.9</c:v>
                </c:pt>
                <c:pt idx="2">
                  <c:v>-0.8</c:v>
                </c:pt>
                <c:pt idx="3">
                  <c:v>-0.70000000000000007</c:v>
                </c:pt>
                <c:pt idx="4">
                  <c:v>-0.60000000000000009</c:v>
                </c:pt>
                <c:pt idx="5">
                  <c:v>-0.50000000000000011</c:v>
                </c:pt>
                <c:pt idx="6">
                  <c:v>-0.40000000000000013</c:v>
                </c:pt>
                <c:pt idx="7">
                  <c:v>-0.30000000000000016</c:v>
                </c:pt>
                <c:pt idx="8">
                  <c:v>-0.20000000000000015</c:v>
                </c:pt>
                <c:pt idx="9">
                  <c:v>-0.10000000000000014</c:v>
                </c:pt>
                <c:pt idx="10">
                  <c:v>-1.3877787807814457E-16</c:v>
                </c:pt>
                <c:pt idx="11">
                  <c:v>9.9999999999999867E-2</c:v>
                </c:pt>
                <c:pt idx="12">
                  <c:v>0.19999999999999987</c:v>
                </c:pt>
                <c:pt idx="13">
                  <c:v>0.29999999999999988</c:v>
                </c:pt>
                <c:pt idx="14">
                  <c:v>0.39999999999999991</c:v>
                </c:pt>
                <c:pt idx="15">
                  <c:v>0.49999999999999989</c:v>
                </c:pt>
                <c:pt idx="16">
                  <c:v>0.59999999999999987</c:v>
                </c:pt>
                <c:pt idx="17">
                  <c:v>0.69999999999999984</c:v>
                </c:pt>
                <c:pt idx="18">
                  <c:v>0.79999999999999982</c:v>
                </c:pt>
                <c:pt idx="19">
                  <c:v>0.8999999999999998</c:v>
                </c:pt>
                <c:pt idx="20">
                  <c:v>0.99999999999999978</c:v>
                </c:pt>
              </c:numCache>
            </c:numRef>
          </c:cat>
          <c:val>
            <c:numRef>
              <c:f>'8E. GR&amp;R Graphical'!$R$302:$AL$302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E3C7-4128-9CC1-4274C9F89233}"/>
            </c:ext>
          </c:extLst>
        </c:ser>
        <c:dLbls>
          <c:showLegendKey val="0"/>
          <c:showVal val="0"/>
          <c:showCatName val="0"/>
          <c:showSerName val="0"/>
          <c:showPercent val="0"/>
          <c:showBubbleSize val="0"/>
        </c:dLbls>
        <c:gapWidth val="0"/>
        <c:axId val="818347064"/>
        <c:axId val="1"/>
      </c:barChart>
      <c:catAx>
        <c:axId val="818347064"/>
        <c:scaling>
          <c:orientation val="minMax"/>
        </c:scaling>
        <c:delete val="0"/>
        <c:axPos val="b"/>
        <c:numFmt formatCode="0.00" sourceLinked="1"/>
        <c:majorTickMark val="out"/>
        <c:minorTickMark val="none"/>
        <c:tickLblPos val="nextTo"/>
        <c:spPr>
          <a:ln w="3175">
            <a:solidFill>
              <a:srgbClr val="000000"/>
            </a:solidFill>
            <a:prstDash val="solid"/>
          </a:ln>
        </c:spPr>
        <c:txPr>
          <a:bodyPr rot="-5400000" vert="horz"/>
          <a:lstStyle/>
          <a:p>
            <a:pPr>
              <a:defRPr sz="82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818347064"/>
        <c:crosses val="autoZero"/>
        <c:crossBetween val="between"/>
      </c:valAx>
      <c:spPr>
        <a:noFill/>
        <a:ln w="12700">
          <a:solidFill>
            <a:srgbClr val="808080"/>
          </a:solidFill>
          <a:prstDash val="solid"/>
        </a:ln>
      </c:spPr>
    </c:plotArea>
    <c:legend>
      <c:legendPos val="r"/>
      <c:layout>
        <c:manualLayout>
          <c:xMode val="edge"/>
          <c:yMode val="edge"/>
          <c:wMode val="edge"/>
          <c:hMode val="edge"/>
          <c:x val="0.89638153370363582"/>
          <c:y val="0.47222416642364151"/>
          <c:w val="0.98848676473580332"/>
          <c:h val="0.56481724506658892"/>
        </c:manualLayout>
      </c:layout>
      <c:overlay val="0"/>
      <c:spPr>
        <a:solidFill>
          <a:srgbClr val="FFFFFF"/>
        </a:solidFill>
        <a:ln w="3175">
          <a:solidFill>
            <a:srgbClr val="000000"/>
          </a:solidFill>
          <a:prstDash val="solid"/>
        </a:ln>
      </c:spPr>
      <c:txPr>
        <a:bodyPr/>
        <a:lstStyle/>
        <a:p>
          <a:pPr>
            <a:defRPr sz="6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XY Plot of Averages by Size</a:t>
            </a:r>
          </a:p>
        </c:rich>
      </c:tx>
      <c:layout>
        <c:manualLayout>
          <c:xMode val="edge"/>
          <c:yMode val="edge"/>
          <c:x val="0.23567917436246397"/>
          <c:y val="3.0973451327433628E-2"/>
        </c:manualLayout>
      </c:layout>
      <c:overlay val="0"/>
      <c:spPr>
        <a:noFill/>
        <a:ln w="25400">
          <a:noFill/>
        </a:ln>
      </c:spPr>
    </c:title>
    <c:autoTitleDeleted val="0"/>
    <c:plotArea>
      <c:layout>
        <c:manualLayout>
          <c:layoutTarget val="inner"/>
          <c:xMode val="edge"/>
          <c:yMode val="edge"/>
          <c:x val="0.10147299509001637"/>
          <c:y val="0.19690265486725664"/>
          <c:w val="0.68739770867430439"/>
          <c:h val="0.69247787610619471"/>
        </c:manualLayout>
      </c:layout>
      <c:scatterChart>
        <c:scatterStyle val="lineMarker"/>
        <c:varyColors val="0"/>
        <c:ser>
          <c:idx val="0"/>
          <c:order val="0"/>
          <c:tx>
            <c:strRef>
              <c:f>'8E. GR&amp;R Graphical'!$P$339</c:f>
              <c:strCache>
                <c:ptCount val="1"/>
                <c:pt idx="0">
                  <c:v>Appr A</c:v>
                </c:pt>
              </c:strCache>
            </c:strRef>
          </c:tx>
          <c:spPr>
            <a:ln w="28575">
              <a:noFill/>
            </a:ln>
          </c:spPr>
          <c:marker>
            <c:symbol val="circle"/>
            <c:size val="5"/>
            <c:spPr>
              <a:solidFill>
                <a:srgbClr val="3333CC"/>
              </a:solidFill>
              <a:ln>
                <a:solidFill>
                  <a:srgbClr val="3333CC"/>
                </a:solidFill>
                <a:prstDash val="solid"/>
              </a:ln>
            </c:spPr>
          </c:marker>
          <c:xVal>
            <c:numRef>
              <c:f>'8E. GR&amp;R Graphical'!$C$31:$L$31</c:f>
            </c:numRef>
          </c:xVal>
          <c:yVal>
            <c:numRef>
              <c:f>'8E. GR&amp;R Graphical'!$C$18:$L$18</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450E-4315-96F8-3355334FD2B0}"/>
            </c:ext>
          </c:extLst>
        </c:ser>
        <c:ser>
          <c:idx val="1"/>
          <c:order val="1"/>
          <c:tx>
            <c:strRef>
              <c:f>'8E. GR&amp;R Graphical'!$P$340</c:f>
              <c:strCache>
                <c:ptCount val="1"/>
                <c:pt idx="0">
                  <c:v>Appr B</c:v>
                </c:pt>
              </c:strCache>
            </c:strRef>
          </c:tx>
          <c:spPr>
            <a:ln w="28575">
              <a:noFill/>
            </a:ln>
          </c:spPr>
          <c:marker>
            <c:symbol val="diamond"/>
            <c:size val="5"/>
            <c:spPr>
              <a:solidFill>
                <a:srgbClr val="339933"/>
              </a:solidFill>
              <a:ln>
                <a:solidFill>
                  <a:srgbClr val="339933"/>
                </a:solidFill>
                <a:prstDash val="solid"/>
              </a:ln>
            </c:spPr>
          </c:marker>
          <c:xVal>
            <c:numRef>
              <c:f>'8E. GR&amp;R Graphical'!$C$31:$L$31</c:f>
            </c:numRef>
          </c:xVal>
          <c:yVal>
            <c:numRef>
              <c:f>'8E. GR&amp;R Graphical'!$C$23:$L$23</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1-450E-4315-96F8-3355334FD2B0}"/>
            </c:ext>
          </c:extLst>
        </c:ser>
        <c:ser>
          <c:idx val="2"/>
          <c:order val="2"/>
          <c:tx>
            <c:strRef>
              <c:f>'8E. GR&amp;R Graphical'!$P$341</c:f>
              <c:strCache>
                <c:ptCount val="1"/>
                <c:pt idx="0">
                  <c:v>Appr C</c:v>
                </c:pt>
              </c:strCache>
            </c:strRef>
          </c:tx>
          <c:spPr>
            <a:ln w="28575">
              <a:noFill/>
            </a:ln>
          </c:spPr>
          <c:marker>
            <c:symbol val="square"/>
            <c:size val="5"/>
            <c:spPr>
              <a:solidFill>
                <a:srgbClr val="FF0000"/>
              </a:solidFill>
              <a:ln>
                <a:solidFill>
                  <a:srgbClr val="FF0000"/>
                </a:solidFill>
                <a:prstDash val="solid"/>
              </a:ln>
            </c:spPr>
          </c:marker>
          <c:xVal>
            <c:numRef>
              <c:f>'8E. GR&amp;R Graphical'!$C$31:$L$31</c:f>
            </c:numRef>
          </c:xVal>
          <c:yVal>
            <c:numRef>
              <c:f>'8E. GR&amp;R Graphical'!$C$28:$L$28</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2-450E-4315-96F8-3355334FD2B0}"/>
            </c:ext>
          </c:extLst>
        </c:ser>
        <c:ser>
          <c:idx val="3"/>
          <c:order val="3"/>
          <c:tx>
            <c:strRef>
              <c:f>'8E. GR&amp;R Graphical'!$R$338</c:f>
              <c:strCache>
                <c:ptCount val="1"/>
                <c:pt idx="0">
                  <c:v>X=Y line</c:v>
                </c:pt>
              </c:strCache>
            </c:strRef>
          </c:tx>
          <c:spPr>
            <a:ln w="3175">
              <a:solidFill>
                <a:srgbClr val="000000"/>
              </a:solidFill>
              <a:prstDash val="solid"/>
            </a:ln>
          </c:spPr>
          <c:marker>
            <c:symbol val="none"/>
          </c:marker>
          <c:xVal>
            <c:numRef>
              <c:f>'8E. GR&amp;R Graphical'!$R$339:$S$339</c:f>
              <c:numCache>
                <c:formatCode>0.00</c:formatCode>
                <c:ptCount val="2"/>
                <c:pt idx="0">
                  <c:v>0</c:v>
                </c:pt>
                <c:pt idx="1">
                  <c:v>0</c:v>
                </c:pt>
              </c:numCache>
            </c:numRef>
          </c:xVal>
          <c:yVal>
            <c:numRef>
              <c:f>'8E. GR&amp;R Graphical'!$R$340:$S$340</c:f>
              <c:numCache>
                <c:formatCode>0.00</c:formatCode>
                <c:ptCount val="2"/>
                <c:pt idx="0">
                  <c:v>0</c:v>
                </c:pt>
                <c:pt idx="1">
                  <c:v>0</c:v>
                </c:pt>
              </c:numCache>
            </c:numRef>
          </c:yVal>
          <c:smooth val="0"/>
          <c:extLst>
            <c:ext xmlns:c16="http://schemas.microsoft.com/office/drawing/2014/chart" uri="{C3380CC4-5D6E-409C-BE32-E72D297353CC}">
              <c16:uniqueId val="{00000003-450E-4315-96F8-3355334FD2B0}"/>
            </c:ext>
          </c:extLst>
        </c:ser>
        <c:dLbls>
          <c:showLegendKey val="0"/>
          <c:showVal val="0"/>
          <c:showCatName val="0"/>
          <c:showSerName val="0"/>
          <c:showPercent val="0"/>
          <c:showBubbleSize val="0"/>
        </c:dLbls>
        <c:axId val="818753328"/>
        <c:axId val="1"/>
      </c:scatterChart>
      <c:valAx>
        <c:axId val="818753328"/>
        <c:scaling>
          <c:orientation val="minMax"/>
        </c:scaling>
        <c:delete val="0"/>
        <c:axPos val="b"/>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en-US"/>
          </a:p>
        </c:txPr>
        <c:crossAx val="818753328"/>
        <c:crosses val="autoZero"/>
        <c:crossBetween val="midCat"/>
      </c:valAx>
      <c:spPr>
        <a:noFill/>
        <a:ln w="12700">
          <a:solidFill>
            <a:srgbClr val="808080"/>
          </a:solidFill>
          <a:prstDash val="solid"/>
        </a:ln>
      </c:spPr>
    </c:plotArea>
    <c:legend>
      <c:legendPos val="r"/>
      <c:layout>
        <c:manualLayout>
          <c:xMode val="edge"/>
          <c:yMode val="edge"/>
          <c:wMode val="edge"/>
          <c:hMode val="edge"/>
          <c:x val="0.83633388419040211"/>
          <c:y val="0.44469026548672569"/>
          <c:w val="0.98690677554194617"/>
          <c:h val="0.63274336283185839"/>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US"/>
              <a:t>Comparison XY Plot</a:t>
            </a:r>
          </a:p>
        </c:rich>
      </c:tx>
      <c:layout>
        <c:manualLayout>
          <c:xMode val="edge"/>
          <c:yMode val="edge"/>
          <c:x val="0.33169997047749616"/>
          <c:y val="3.448267164802598E-2"/>
        </c:manualLayout>
      </c:layout>
      <c:overlay val="0"/>
      <c:spPr>
        <a:noFill/>
        <a:ln w="25400">
          <a:noFill/>
        </a:ln>
      </c:spPr>
    </c:title>
    <c:autoTitleDeleted val="0"/>
    <c:plotArea>
      <c:layout>
        <c:manualLayout>
          <c:layoutTarget val="inner"/>
          <c:xMode val="edge"/>
          <c:yMode val="edge"/>
          <c:x val="0.15032703726102503"/>
          <c:y val="0.22701213129751285"/>
          <c:w val="0.78921694562038147"/>
          <c:h val="0.54310497234468258"/>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Ref>
              <c:f>'8E. GR&amp;R Graphical'!$C$18:$L$18</c:f>
            </c:numRef>
          </c:xVal>
          <c:yVal>
            <c:numRef>
              <c:f>'8E. GR&amp;R Graphical'!$C$23:$L$23</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8DAB-4D71-A575-97FEEC32C640}"/>
            </c:ext>
          </c:extLst>
        </c:ser>
        <c:ser>
          <c:idx val="1"/>
          <c:order val="1"/>
          <c:tx>
            <c:strRef>
              <c:f>'8E. GR&amp;R Graphical'!$R$338</c:f>
              <c:strCache>
                <c:ptCount val="1"/>
                <c:pt idx="0">
                  <c:v>X=Y line</c:v>
                </c:pt>
              </c:strCache>
            </c:strRef>
          </c:tx>
          <c:spPr>
            <a:ln w="3175">
              <a:solidFill>
                <a:srgbClr val="000000"/>
              </a:solidFill>
              <a:prstDash val="solid"/>
            </a:ln>
          </c:spPr>
          <c:marker>
            <c:symbol val="none"/>
          </c:marker>
          <c:xVal>
            <c:numRef>
              <c:f>'8E. GR&amp;R Graphical'!$R$339:$S$339</c:f>
              <c:numCache>
                <c:formatCode>0.00</c:formatCode>
                <c:ptCount val="2"/>
                <c:pt idx="0">
                  <c:v>0</c:v>
                </c:pt>
                <c:pt idx="1">
                  <c:v>0</c:v>
                </c:pt>
              </c:numCache>
            </c:numRef>
          </c:xVal>
          <c:yVal>
            <c:numRef>
              <c:f>'8E. GR&amp;R Graphical'!$R$340:$S$340</c:f>
              <c:numCache>
                <c:formatCode>0.00</c:formatCode>
                <c:ptCount val="2"/>
                <c:pt idx="0">
                  <c:v>0</c:v>
                </c:pt>
                <c:pt idx="1">
                  <c:v>0</c:v>
                </c:pt>
              </c:numCache>
            </c:numRef>
          </c:yVal>
          <c:smooth val="0"/>
          <c:extLst>
            <c:ext xmlns:c16="http://schemas.microsoft.com/office/drawing/2014/chart" uri="{C3380CC4-5D6E-409C-BE32-E72D297353CC}">
              <c16:uniqueId val="{00000001-8DAB-4D71-A575-97FEEC32C640}"/>
            </c:ext>
          </c:extLst>
        </c:ser>
        <c:dLbls>
          <c:showLegendKey val="0"/>
          <c:showVal val="0"/>
          <c:showCatName val="0"/>
          <c:showSerName val="0"/>
          <c:showPercent val="0"/>
          <c:showBubbleSize val="0"/>
        </c:dLbls>
        <c:axId val="818759888"/>
        <c:axId val="1"/>
      </c:scatterChart>
      <c:valAx>
        <c:axId val="81875988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a:t>
                </a:r>
              </a:p>
            </c:rich>
          </c:tx>
          <c:layout>
            <c:manualLayout>
              <c:xMode val="edge"/>
              <c:yMode val="edge"/>
              <c:x val="0.49673286987046494"/>
              <c:y val="0.8735658493138808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Appr B</a:t>
                </a:r>
              </a:p>
            </c:rich>
          </c:tx>
          <c:layout>
            <c:manualLayout>
              <c:xMode val="edge"/>
              <c:yMode val="edge"/>
              <c:x val="2.6143673489195978E-2"/>
              <c:y val="0.4137942667076525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75988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US"/>
              <a:t>Comparison XY Plot</a:t>
            </a:r>
          </a:p>
        </c:rich>
      </c:tx>
      <c:layout>
        <c:manualLayout>
          <c:xMode val="edge"/>
          <c:yMode val="edge"/>
          <c:x val="0.33278998586715119"/>
          <c:y val="3.438366391884299E-2"/>
        </c:manualLayout>
      </c:layout>
      <c:overlay val="0"/>
      <c:spPr>
        <a:noFill/>
        <a:ln w="25400">
          <a:noFill/>
        </a:ln>
      </c:spPr>
    </c:title>
    <c:autoTitleDeleted val="0"/>
    <c:plotArea>
      <c:layout>
        <c:manualLayout>
          <c:layoutTarget val="inner"/>
          <c:xMode val="edge"/>
          <c:yMode val="edge"/>
          <c:x val="0.15008168561512733"/>
          <c:y val="0.22636134821777093"/>
          <c:w val="0.78956017214914809"/>
          <c:h val="0.54441336913134786"/>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Ref>
              <c:f>'8E. GR&amp;R Graphical'!$C$18:$L$18</c:f>
            </c:numRef>
          </c:xVal>
          <c:yVal>
            <c:numRef>
              <c:f>'8E. GR&amp;R Graphical'!$C$28:$L$28</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5FE4-4178-BC30-ED7B140CACE4}"/>
            </c:ext>
          </c:extLst>
        </c:ser>
        <c:ser>
          <c:idx val="1"/>
          <c:order val="1"/>
          <c:tx>
            <c:strRef>
              <c:f>'8E. GR&amp;R Graphical'!$R$338</c:f>
              <c:strCache>
                <c:ptCount val="1"/>
                <c:pt idx="0">
                  <c:v>X=Y line</c:v>
                </c:pt>
              </c:strCache>
            </c:strRef>
          </c:tx>
          <c:spPr>
            <a:ln w="3175">
              <a:solidFill>
                <a:srgbClr val="000000"/>
              </a:solidFill>
              <a:prstDash val="solid"/>
            </a:ln>
          </c:spPr>
          <c:marker>
            <c:symbol val="none"/>
          </c:marker>
          <c:xVal>
            <c:numRef>
              <c:f>'8E. GR&amp;R Graphical'!$R$339:$S$339</c:f>
              <c:numCache>
                <c:formatCode>0.00</c:formatCode>
                <c:ptCount val="2"/>
                <c:pt idx="0">
                  <c:v>0</c:v>
                </c:pt>
                <c:pt idx="1">
                  <c:v>0</c:v>
                </c:pt>
              </c:numCache>
            </c:numRef>
          </c:xVal>
          <c:yVal>
            <c:numRef>
              <c:f>'8E. GR&amp;R Graphical'!$R$340:$S$340</c:f>
              <c:numCache>
                <c:formatCode>0.00</c:formatCode>
                <c:ptCount val="2"/>
                <c:pt idx="0">
                  <c:v>0</c:v>
                </c:pt>
                <c:pt idx="1">
                  <c:v>0</c:v>
                </c:pt>
              </c:numCache>
            </c:numRef>
          </c:yVal>
          <c:smooth val="0"/>
          <c:extLst>
            <c:ext xmlns:c16="http://schemas.microsoft.com/office/drawing/2014/chart" uri="{C3380CC4-5D6E-409C-BE32-E72D297353CC}">
              <c16:uniqueId val="{00000001-5FE4-4178-BC30-ED7B140CACE4}"/>
            </c:ext>
          </c:extLst>
        </c:ser>
        <c:dLbls>
          <c:showLegendKey val="0"/>
          <c:showVal val="0"/>
          <c:showCatName val="0"/>
          <c:showSerName val="0"/>
          <c:showPercent val="0"/>
          <c:showBubbleSize val="0"/>
        </c:dLbls>
        <c:axId val="818758248"/>
        <c:axId val="1"/>
      </c:scatterChart>
      <c:valAx>
        <c:axId val="81875824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a:t>
                </a:r>
              </a:p>
            </c:rich>
          </c:tx>
          <c:layout>
            <c:manualLayout>
              <c:xMode val="edge"/>
              <c:yMode val="edge"/>
              <c:x val="0.497553321219463"/>
              <c:y val="0.8739267708838447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Appr C</a:t>
                </a:r>
              </a:p>
            </c:rich>
          </c:tx>
          <c:layout>
            <c:manualLayout>
              <c:xMode val="edge"/>
              <c:yMode val="edge"/>
              <c:x val="2.6101191197254191E-2"/>
              <c:y val="0.4154734030680182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75824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Average Chart -"Stacked"</a:t>
            </a:r>
          </a:p>
        </c:rich>
      </c:tx>
      <c:layout>
        <c:manualLayout>
          <c:xMode val="edge"/>
          <c:yMode val="edge"/>
          <c:x val="0.32996693162958429"/>
          <c:y val="3.4810126582278479E-2"/>
        </c:manualLayout>
      </c:layout>
      <c:overlay val="0"/>
      <c:spPr>
        <a:noFill/>
        <a:ln w="25400">
          <a:noFill/>
        </a:ln>
      </c:spPr>
    </c:title>
    <c:autoTitleDeleted val="0"/>
    <c:plotArea>
      <c:layout>
        <c:manualLayout>
          <c:layoutTarget val="inner"/>
          <c:xMode val="edge"/>
          <c:yMode val="edge"/>
          <c:x val="0.15488240951574586"/>
          <c:y val="0.21835476778018656"/>
          <c:w val="0.61111211580669289"/>
          <c:h val="0.52848182926508924"/>
        </c:manualLayout>
      </c:layout>
      <c:lineChart>
        <c:grouping val="standard"/>
        <c:varyColors val="0"/>
        <c:ser>
          <c:idx val="0"/>
          <c:order val="0"/>
          <c:tx>
            <c:strRef>
              <c:f>'8E. GR&amp;R Graphical'!$J$4</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Graphical'!$C$18:$L$18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5D98-4322-9F58-050ED70A91FF}"/>
            </c:ext>
          </c:extLst>
        </c:ser>
        <c:ser>
          <c:idx val="1"/>
          <c:order val="1"/>
          <c:tx>
            <c:strRef>
              <c:f>'8E. GR&amp;R Graphical'!$J$6</c:f>
              <c:strCache>
                <c:ptCount val="1"/>
                <c:pt idx="0">
                  <c:v>Appraiser B</c:v>
                </c:pt>
              </c:strCache>
            </c:strRef>
          </c:tx>
          <c:spPr>
            <a:ln w="12700">
              <a:solidFill>
                <a:srgbClr val="FF00FF"/>
              </a:solidFill>
              <a:prstDash val="sysDash"/>
            </a:ln>
          </c:spPr>
          <c:marker>
            <c:symbol val="square"/>
            <c:size val="5"/>
            <c:spPr>
              <a:solidFill>
                <a:srgbClr val="FF00FF"/>
              </a:solidFill>
              <a:ln>
                <a:solidFill>
                  <a:srgbClr val="FF00FF"/>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Graphical'!$C$23:$L$23</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5D98-4322-9F58-050ED70A91FF}"/>
            </c:ext>
          </c:extLst>
        </c:ser>
        <c:ser>
          <c:idx val="2"/>
          <c:order val="2"/>
          <c:tx>
            <c:strRef>
              <c:f>'8E. GR&amp;R Graphical'!$J$8</c:f>
              <c:strCache>
                <c:ptCount val="1"/>
                <c:pt idx="0">
                  <c:v>Appraiser C</c:v>
                </c:pt>
              </c:strCache>
            </c:strRef>
          </c:tx>
          <c:spPr>
            <a:ln w="12700">
              <a:solidFill>
                <a:srgbClr val="424242"/>
              </a:solidFill>
              <a:prstDash val="solid"/>
            </a:ln>
          </c:spPr>
          <c:marker>
            <c:symbol val="triangle"/>
            <c:size val="5"/>
            <c:spPr>
              <a:solidFill>
                <a:srgbClr val="424242"/>
              </a:solidFill>
              <a:ln>
                <a:solidFill>
                  <a:srgbClr val="424242"/>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Graphical'!$C$28:$L$28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5D98-4322-9F58-050ED70A91FF}"/>
            </c:ext>
          </c:extLst>
        </c:ser>
        <c:ser>
          <c:idx val="3"/>
          <c:order val="3"/>
          <c:tx>
            <c:strRef>
              <c:f>'8E. GR&amp;R Graphical'!$P$51</c:f>
              <c:strCache>
                <c:ptCount val="1"/>
                <c:pt idx="0">
                  <c:v>Upper Spec</c:v>
                </c:pt>
              </c:strCache>
            </c:strRef>
          </c:tx>
          <c:spPr>
            <a:ln w="25400">
              <a:solidFill>
                <a:srgbClr val="339933"/>
              </a:solidFill>
              <a:prstDash val="solid"/>
            </a:ln>
          </c:spPr>
          <c:marker>
            <c:symbol val="none"/>
          </c:marker>
          <c:val>
            <c:numRef>
              <c:f>'8E. GR&amp;R Graphical'!$Q$51:$Z$51</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5D98-4322-9F58-050ED70A91FF}"/>
            </c:ext>
          </c:extLst>
        </c:ser>
        <c:ser>
          <c:idx val="4"/>
          <c:order val="4"/>
          <c:tx>
            <c:strRef>
              <c:f>'8E. GR&amp;R Graphical'!$P$52</c:f>
              <c:strCache>
                <c:ptCount val="1"/>
                <c:pt idx="0">
                  <c:v>Lower Spec</c:v>
                </c:pt>
              </c:strCache>
            </c:strRef>
          </c:tx>
          <c:spPr>
            <a:ln w="25400">
              <a:solidFill>
                <a:srgbClr val="339933"/>
              </a:solidFill>
              <a:prstDash val="lgDash"/>
            </a:ln>
          </c:spPr>
          <c:marker>
            <c:symbol val="none"/>
          </c:marker>
          <c:val>
            <c:numRef>
              <c:f>'8E. GR&amp;R Graphical'!$Q$52:$Z$52</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4-5D98-4322-9F58-050ED70A91FF}"/>
            </c:ext>
          </c:extLst>
        </c:ser>
        <c:dLbls>
          <c:showLegendKey val="0"/>
          <c:showVal val="0"/>
          <c:showCatName val="0"/>
          <c:showSerName val="0"/>
          <c:showPercent val="0"/>
          <c:showBubbleSize val="0"/>
        </c:dLbls>
        <c:marker val="1"/>
        <c:smooth val="0"/>
        <c:axId val="817764664"/>
        <c:axId val="1"/>
      </c:lineChart>
      <c:catAx>
        <c:axId val="81776466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Part Number</a:t>
                </a:r>
              </a:p>
            </c:rich>
          </c:tx>
          <c:layout>
            <c:manualLayout>
              <c:xMode val="edge"/>
              <c:yMode val="edge"/>
              <c:x val="0.37373780733826656"/>
              <c:y val="0.86076082261869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a:t>
                </a:r>
              </a:p>
            </c:rich>
          </c:tx>
          <c:layout>
            <c:manualLayout>
              <c:xMode val="edge"/>
              <c:yMode val="edge"/>
              <c:x val="2.6936205082130186E-2"/>
              <c:y val="0.3734183859928901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7764664"/>
        <c:crosses val="autoZero"/>
        <c:crossBetween val="between"/>
      </c:valAx>
      <c:spPr>
        <a:noFill/>
        <a:ln w="12700">
          <a:solidFill>
            <a:srgbClr val="808080"/>
          </a:solidFill>
          <a:prstDash val="solid"/>
        </a:ln>
      </c:spPr>
    </c:plotArea>
    <c:legend>
      <c:legendPos val="r"/>
      <c:layout>
        <c:manualLayout>
          <c:xMode val="edge"/>
          <c:yMode val="edge"/>
          <c:wMode val="edge"/>
          <c:hMode val="edge"/>
          <c:x val="0.77441198614040119"/>
          <c:y val="0.31645602843948301"/>
          <c:w val="0.98316649404561351"/>
          <c:h val="0.64557061696401874"/>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4" verticalDpi="12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US"/>
              <a:t>Comparison XY Plot</a:t>
            </a:r>
          </a:p>
        </c:rich>
      </c:tx>
      <c:layout>
        <c:manualLayout>
          <c:xMode val="edge"/>
          <c:yMode val="edge"/>
          <c:x val="0.33224750132039949"/>
          <c:y val="3.4285714285714287E-2"/>
        </c:manualLayout>
      </c:layout>
      <c:overlay val="0"/>
      <c:spPr>
        <a:noFill/>
        <a:ln w="25400">
          <a:noFill/>
        </a:ln>
      </c:spPr>
    </c:title>
    <c:autoTitleDeleted val="0"/>
    <c:plotArea>
      <c:layout>
        <c:manualLayout>
          <c:layoutTarget val="inner"/>
          <c:xMode val="edge"/>
          <c:yMode val="edge"/>
          <c:x val="0.14983713355048861"/>
          <c:y val="0.2257142857142857"/>
          <c:w val="0.78990228013029318"/>
          <c:h val="0.54571428571428571"/>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xVal>
            <c:numRef>
              <c:f>'8E. GR&amp;R Graphical'!$C$23:$L$23</c:f>
            </c:numRef>
          </c:xVal>
          <c:yVal>
            <c:numRef>
              <c:f>'8E. GR&amp;R Graphical'!$C$28:$L$28</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C9F7-477F-805F-030D6127A6C9}"/>
            </c:ext>
          </c:extLst>
        </c:ser>
        <c:ser>
          <c:idx val="1"/>
          <c:order val="1"/>
          <c:tx>
            <c:strRef>
              <c:f>'8E. GR&amp;R Graphical'!$R$338</c:f>
              <c:strCache>
                <c:ptCount val="1"/>
                <c:pt idx="0">
                  <c:v>X=Y line</c:v>
                </c:pt>
              </c:strCache>
            </c:strRef>
          </c:tx>
          <c:spPr>
            <a:ln w="3175">
              <a:solidFill>
                <a:srgbClr val="000000"/>
              </a:solidFill>
              <a:prstDash val="solid"/>
            </a:ln>
          </c:spPr>
          <c:marker>
            <c:symbol val="none"/>
          </c:marker>
          <c:xVal>
            <c:numRef>
              <c:f>'8E. GR&amp;R Graphical'!$R$339:$S$339</c:f>
              <c:numCache>
                <c:formatCode>0.00</c:formatCode>
                <c:ptCount val="2"/>
                <c:pt idx="0">
                  <c:v>0</c:v>
                </c:pt>
                <c:pt idx="1">
                  <c:v>0</c:v>
                </c:pt>
              </c:numCache>
            </c:numRef>
          </c:xVal>
          <c:yVal>
            <c:numRef>
              <c:f>'8E. GR&amp;R Graphical'!$R$340:$S$340</c:f>
              <c:numCache>
                <c:formatCode>0.00</c:formatCode>
                <c:ptCount val="2"/>
                <c:pt idx="0">
                  <c:v>0</c:v>
                </c:pt>
                <c:pt idx="1">
                  <c:v>0</c:v>
                </c:pt>
              </c:numCache>
            </c:numRef>
          </c:yVal>
          <c:smooth val="0"/>
          <c:extLst>
            <c:ext xmlns:c16="http://schemas.microsoft.com/office/drawing/2014/chart" uri="{C3380CC4-5D6E-409C-BE32-E72D297353CC}">
              <c16:uniqueId val="{00000001-C9F7-477F-805F-030D6127A6C9}"/>
            </c:ext>
          </c:extLst>
        </c:ser>
        <c:dLbls>
          <c:showLegendKey val="0"/>
          <c:showVal val="0"/>
          <c:showCatName val="0"/>
          <c:showSerName val="0"/>
          <c:showPercent val="0"/>
          <c:showBubbleSize val="0"/>
        </c:dLbls>
        <c:axId val="818750376"/>
        <c:axId val="1"/>
      </c:scatterChart>
      <c:valAx>
        <c:axId val="81875037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B</a:t>
                </a:r>
              </a:p>
            </c:rich>
          </c:tx>
          <c:layout>
            <c:manualLayout>
              <c:xMode val="edge"/>
              <c:yMode val="edge"/>
              <c:x val="0.49674274586644412"/>
              <c:y val="0.8742857142857142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Appr C</a:t>
                </a:r>
              </a:p>
            </c:rich>
          </c:tx>
          <c:layout>
            <c:manualLayout>
              <c:xMode val="edge"/>
              <c:yMode val="edge"/>
              <c:x val="2.6058678149102329E-2"/>
              <c:y val="0.41428571428571431"/>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75037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79850229021402E-2"/>
          <c:y val="7.6452907666212322E-2"/>
          <c:w val="0.91727602892624327"/>
          <c:h val="0.79816752128584101"/>
        </c:manualLayout>
      </c:layout>
      <c:lineChart>
        <c:grouping val="standard"/>
        <c:varyColors val="0"/>
        <c:ser>
          <c:idx val="0"/>
          <c:order val="0"/>
          <c:tx>
            <c:strRef>
              <c:f>'8F. GR&amp;R X&amp;R '!$AH$11</c:f>
              <c:strCache>
                <c:ptCount val="1"/>
                <c:pt idx="0">
                  <c:v>UCL LINE</c:v>
                </c:pt>
              </c:strCache>
            </c:strRef>
          </c:tx>
          <c:spPr>
            <a:ln w="12700">
              <a:solidFill>
                <a:srgbClr val="FF0000"/>
              </a:solidFill>
              <a:prstDash val="solid"/>
            </a:ln>
          </c:spPr>
          <c:marker>
            <c:symbol val="none"/>
          </c:marker>
          <c:cat>
            <c:numRef>
              <c:f>'8F. GR&amp;R X&amp;R '!$AI$10:$BL$10</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'8F. GR&amp;R X&amp;R '!$AI$11:$BL$11</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91A5-4911-8D51-7F57AAA57EAA}"/>
            </c:ext>
          </c:extLst>
        </c:ser>
        <c:ser>
          <c:idx val="1"/>
          <c:order val="1"/>
          <c:tx>
            <c:strRef>
              <c:f>'8F. GR&amp;R X&amp;R '!$AH$13</c:f>
              <c:strCache>
                <c:ptCount val="1"/>
                <c:pt idx="0">
                  <c:v>X</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'8F. GR&amp;R X&amp;R '!$AI$10:$BL$10</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'8F. GR&amp;R X&amp;R '!$AI$13:$BL$13</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1-91A5-4911-8D51-7F57AAA57EAA}"/>
            </c:ext>
          </c:extLst>
        </c:ser>
        <c:ser>
          <c:idx val="2"/>
          <c:order val="2"/>
          <c:tx>
            <c:strRef>
              <c:f>'8F. GR&amp;R X&amp;R '!$AH$14</c:f>
              <c:strCache>
                <c:ptCount val="1"/>
                <c:pt idx="0">
                  <c:v>LCL LINE</c:v>
                </c:pt>
              </c:strCache>
            </c:strRef>
          </c:tx>
          <c:spPr>
            <a:ln w="12700">
              <a:solidFill>
                <a:srgbClr val="FF0000"/>
              </a:solidFill>
              <a:prstDash val="solid"/>
            </a:ln>
          </c:spPr>
          <c:marker>
            <c:symbol val="none"/>
          </c:marker>
          <c:cat>
            <c:numRef>
              <c:f>'8F. GR&amp;R X&amp;R '!$AI$10:$BL$10</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'8F. GR&amp;R X&amp;R '!$AI$14:$BL$14</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91A5-4911-8D51-7F57AAA57EAA}"/>
            </c:ext>
          </c:extLst>
        </c:ser>
        <c:ser>
          <c:idx val="3"/>
          <c:order val="3"/>
          <c:tx>
            <c:strRef>
              <c:f>'8F. GR&amp;R X&amp;R '!$AH$12</c:f>
              <c:strCache>
                <c:ptCount val="1"/>
                <c:pt idx="0">
                  <c:v>AVERAGE</c:v>
                </c:pt>
              </c:strCache>
            </c:strRef>
          </c:tx>
          <c:spPr>
            <a:ln w="25400">
              <a:solidFill>
                <a:srgbClr val="008000"/>
              </a:solidFill>
              <a:prstDash val="solid"/>
            </a:ln>
          </c:spPr>
          <c:marker>
            <c:symbol val="none"/>
          </c:marker>
          <c:val>
            <c:numRef>
              <c:f>'8F. GR&amp;R X&amp;R '!$AI$12:$BL$12</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3-91A5-4911-8D51-7F57AAA57EAA}"/>
            </c:ext>
          </c:extLst>
        </c:ser>
        <c:dLbls>
          <c:showLegendKey val="0"/>
          <c:showVal val="0"/>
          <c:showCatName val="0"/>
          <c:showSerName val="0"/>
          <c:showPercent val="0"/>
          <c:showBubbleSize val="0"/>
        </c:dLbls>
        <c:smooth val="0"/>
        <c:axId val="818752672"/>
        <c:axId val="1"/>
      </c:lineChart>
      <c:catAx>
        <c:axId val="818752672"/>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18752672"/>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&amp;L&amp;G&amp;C&amp;"Arial,Bold"&amp;14GAGE R&amp;&amp;R DATA SHEET</c:oddHeader>
      <c:oddFooter>Page &amp;P</c:oddFooter>
    </c:headerFooter>
    <c:pageMargins b="1" l="0.75" r="0.75" t="1" header="0.5" footer="0.5"/>
    <c:pageSetup orientation="landscape"/>
    <c:legacyDrawingHF r:id="rId1"/>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271136522169424E-2"/>
          <c:y val="9.2879256965944276E-2"/>
          <c:w val="0.90476298358681462"/>
          <c:h val="0.76470588235294112"/>
        </c:manualLayout>
      </c:layout>
      <c:lineChart>
        <c:grouping val="standard"/>
        <c:varyColors val="0"/>
        <c:ser>
          <c:idx val="0"/>
          <c:order val="0"/>
          <c:spPr>
            <a:ln w="12700">
              <a:solidFill>
                <a:srgbClr val="FF0000"/>
              </a:solidFill>
              <a:prstDash val="solid"/>
            </a:ln>
          </c:spPr>
          <c:marker>
            <c:symbol val="none"/>
          </c:marker>
          <c:cat>
            <c:numRef>
              <c:f>'8F. GR&amp;R X&amp;R '!$AI$32:$BL$32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'8F. GR&amp;R X&amp;R '!$AI$33:$BL$33</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A73F-4268-A9A7-F3657D499D19}"/>
            </c:ext>
          </c:extLst>
        </c:ser>
        <c:ser>
          <c:idx val="1"/>
          <c:order val="1"/>
          <c:spPr>
            <a:ln w="25400">
              <a:solidFill>
                <a:srgbClr val="008000"/>
              </a:solidFill>
              <a:prstDash val="solid"/>
            </a:ln>
          </c:spPr>
          <c:marker>
            <c:symbol val="none"/>
          </c:marker>
          <c:cat>
            <c:numRef>
              <c:f>'8F. GR&amp;R X&amp;R '!$AI$32:$BL$32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'8F. GR&amp;R X&amp;R '!$AI$34:$BL$34</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1-A73F-4268-A9A7-F3657D499D19}"/>
            </c:ext>
          </c:extLst>
        </c:ser>
        <c:ser>
          <c:idx val="2"/>
          <c:order val="2"/>
          <c:spPr>
            <a:ln w="12700">
              <a:solidFill>
                <a:srgbClr val="0000FF"/>
              </a:solidFill>
              <a:prstDash val="solid"/>
            </a:ln>
          </c:spPr>
          <c:marker>
            <c:symbol val="circle"/>
            <c:size val="5"/>
            <c:spPr>
              <a:solidFill>
                <a:srgbClr val="0000FF"/>
              </a:solidFill>
              <a:ln>
                <a:solidFill>
                  <a:srgbClr val="0000FF"/>
                </a:solidFill>
                <a:prstDash val="solid"/>
              </a:ln>
            </c:spPr>
          </c:marker>
          <c:cat>
            <c:numRef>
              <c:f>'8F. GR&amp;R X&amp;R '!$AI$32:$BL$32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'8F. GR&amp;R X&amp;R '!$AI$35:$BL$35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A73F-4268-A9A7-F3657D499D19}"/>
            </c:ext>
          </c:extLst>
        </c:ser>
        <c:ser>
          <c:idx val="3"/>
          <c:order val="3"/>
          <c:spPr>
            <a:ln w="12700">
              <a:solidFill>
                <a:srgbClr val="FF0000"/>
              </a:solidFill>
              <a:prstDash val="solid"/>
            </a:ln>
          </c:spPr>
          <c:marker>
            <c:symbol val="none"/>
          </c:marker>
          <c:cat>
            <c:numRef>
              <c:f>'8F. GR&amp;R X&amp;R '!$AI$32:$BL$32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'8F. GR&amp;R X&amp;R '!$AI$36:$BL$36</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3-A73F-4268-A9A7-F3657D499D19}"/>
            </c:ext>
          </c:extLst>
        </c:ser>
        <c:dLbls>
          <c:showLegendKey val="0"/>
          <c:showVal val="0"/>
          <c:showCatName val="0"/>
          <c:showSerName val="0"/>
          <c:showPercent val="0"/>
          <c:showBubbleSize val="0"/>
        </c:dLbls>
        <c:smooth val="0"/>
        <c:axId val="818765136"/>
        <c:axId val="1"/>
      </c:lineChart>
      <c:catAx>
        <c:axId val="818765136"/>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18765136"/>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028901734104042E-2"/>
          <c:y val="8.5714435188398413E-2"/>
          <c:w val="0.90462427745664742"/>
          <c:h val="0.7714299166955858"/>
        </c:manualLayout>
      </c:layout>
      <c:lineChart>
        <c:grouping val="standard"/>
        <c:varyColors val="0"/>
        <c:ser>
          <c:idx val="0"/>
          <c:order val="0"/>
          <c:tx>
            <c:strRef>
              <c:f>'8G. Gage R'!$AH$13</c:f>
              <c:strCache>
                <c:ptCount val="1"/>
                <c:pt idx="0">
                  <c:v>UCL LINE</c:v>
                </c:pt>
              </c:strCache>
            </c:strRef>
          </c:tx>
          <c:spPr>
            <a:ln w="12700">
              <a:solidFill>
                <a:srgbClr val="FF0000"/>
              </a:solidFill>
              <a:prstDash val="solid"/>
            </a:ln>
          </c:spPr>
          <c:marker>
            <c:symbol val="none"/>
          </c:marker>
          <c:cat>
            <c:numRef>
              <c:f>'8G. Gage R'!$AI$12:$AR$12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'8G. Gage R'!$AI$13:$AR$13</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778E-431A-AC8B-B5D8ED2D8CBE}"/>
            </c:ext>
          </c:extLst>
        </c:ser>
        <c:ser>
          <c:idx val="1"/>
          <c:order val="1"/>
          <c:tx>
            <c:strRef>
              <c:f>'8G. Gage R'!$AH$15</c:f>
              <c:strCache>
                <c:ptCount val="1"/>
                <c:pt idx="0">
                  <c:v>X</c:v>
                </c:pt>
              </c:strCache>
            </c:strRef>
          </c:tx>
          <c:spPr>
            <a:ln w="12700">
              <a:solidFill>
                <a:srgbClr val="0000FF"/>
              </a:solidFill>
              <a:prstDash val="solid"/>
            </a:ln>
          </c:spPr>
          <c:marker>
            <c:symbol val="square"/>
            <c:size val="5"/>
            <c:spPr>
              <a:solidFill>
                <a:srgbClr val="0000FF"/>
              </a:solidFill>
              <a:ln>
                <a:solidFill>
                  <a:srgbClr val="0000FF"/>
                </a:solidFill>
                <a:prstDash val="solid"/>
              </a:ln>
            </c:spPr>
          </c:marker>
          <c:cat>
            <c:numRef>
              <c:f>'8G. Gage R'!$AI$12:$AR$12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'8G. Gage R'!$AI$15:$AR$15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778E-431A-AC8B-B5D8ED2D8CBE}"/>
            </c:ext>
          </c:extLst>
        </c:ser>
        <c:ser>
          <c:idx val="2"/>
          <c:order val="2"/>
          <c:tx>
            <c:strRef>
              <c:f>'8G. Gage R'!$AH$16</c:f>
              <c:strCache>
                <c:ptCount val="1"/>
                <c:pt idx="0">
                  <c:v>LCL LINE</c:v>
                </c:pt>
              </c:strCache>
            </c:strRef>
          </c:tx>
          <c:spPr>
            <a:ln w="12700">
              <a:solidFill>
                <a:srgbClr val="FF0000"/>
              </a:solidFill>
              <a:prstDash val="solid"/>
            </a:ln>
          </c:spPr>
          <c:marker>
            <c:symbol val="none"/>
          </c:marker>
          <c:cat>
            <c:numRef>
              <c:f>'8G. Gage R'!$AI$12:$AR$12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'8G. Gage R'!$AI$16:$AR$16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778E-431A-AC8B-B5D8ED2D8CBE}"/>
            </c:ext>
          </c:extLst>
        </c:ser>
        <c:ser>
          <c:idx val="3"/>
          <c:order val="3"/>
          <c:tx>
            <c:strRef>
              <c:f>'8G. Gage R'!$AH$14</c:f>
              <c:strCache>
                <c:ptCount val="1"/>
                <c:pt idx="0">
                  <c:v>AVERAGE</c:v>
                </c:pt>
              </c:strCache>
            </c:strRef>
          </c:tx>
          <c:spPr>
            <a:ln w="25400">
              <a:solidFill>
                <a:srgbClr val="008000"/>
              </a:solidFill>
              <a:prstDash val="solid"/>
            </a:ln>
          </c:spPr>
          <c:marker>
            <c:symbol val="none"/>
          </c:marker>
          <c:cat>
            <c:numRef>
              <c:f>'8G. Gage R'!$AI$12:$AR$12</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'8G. Gage R'!$AI$14:$AR$14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778E-431A-AC8B-B5D8ED2D8CBE}"/>
            </c:ext>
          </c:extLst>
        </c:ser>
        <c:dLbls>
          <c:showLegendKey val="0"/>
          <c:showVal val="0"/>
          <c:showCatName val="0"/>
          <c:showSerName val="0"/>
          <c:showPercent val="0"/>
          <c:showBubbleSize val="0"/>
        </c:dLbls>
        <c:smooth val="0"/>
        <c:axId val="818764152"/>
        <c:axId val="1"/>
      </c:lineChart>
      <c:catAx>
        <c:axId val="818764152"/>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18764152"/>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c:oddHeader>&amp;L&amp;G&amp;C&amp;"Arial,Bold"&amp;14GAGE R&amp;"Arial,Regular"&amp;8and&amp;"Arial,Bold"&amp;14R STUDY DATA SHEET</c:oddHeader>
      <c:oddFooter>&amp;C&amp;F</c:oddFooter>
    </c:headerFooter>
    <c:pageMargins b="1" l="0.75" r="0.75" t="1" header="0.5" footer="0.5"/>
    <c:pageSetup orientation="landscape" verticalDpi="0"/>
    <c:legacyDrawingHF r:id="rId1"/>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127959586181347E-2"/>
          <c:y val="0.15135135135135136"/>
          <c:w val="0.88808202563052552"/>
          <c:h val="0.61081081081081079"/>
        </c:manualLayout>
      </c:layout>
      <c:lineChart>
        <c:grouping val="standard"/>
        <c:varyColors val="0"/>
        <c:ser>
          <c:idx val="0"/>
          <c:order val="0"/>
          <c:tx>
            <c:strRef>
              <c:f>'8G. Gage R'!$AH$35</c:f>
              <c:strCache>
                <c:ptCount val="1"/>
                <c:pt idx="0">
                  <c:v>UCL LINE</c:v>
                </c:pt>
              </c:strCache>
            </c:strRef>
          </c:tx>
          <c:spPr>
            <a:ln w="12700">
              <a:solidFill>
                <a:srgbClr val="FF0000"/>
              </a:solidFill>
              <a:prstDash val="solid"/>
            </a:ln>
          </c:spPr>
          <c:marker>
            <c:symbol val="none"/>
          </c:marker>
          <c:cat>
            <c:numRef>
              <c:f>'8G. Gage R'!$AI$34:$AR$34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'8G. Gage R'!$AI$35:$AR$35</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C4C5-4766-91A0-4E92ABA42F63}"/>
            </c:ext>
          </c:extLst>
        </c:ser>
        <c:ser>
          <c:idx val="1"/>
          <c:order val="1"/>
          <c:tx>
            <c:strRef>
              <c:f>'8G. Gage R'!$AH$36</c:f>
              <c:strCache>
                <c:ptCount val="1"/>
                <c:pt idx="0">
                  <c:v>AVERAGE</c:v>
                </c:pt>
              </c:strCache>
            </c:strRef>
          </c:tx>
          <c:spPr>
            <a:ln w="25400">
              <a:solidFill>
                <a:srgbClr val="008000"/>
              </a:solidFill>
              <a:prstDash val="solid"/>
            </a:ln>
          </c:spPr>
          <c:marker>
            <c:symbol val="none"/>
          </c:marker>
          <c:cat>
            <c:numRef>
              <c:f>'8G. Gage R'!$AI$34:$AR$34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'8G. Gage R'!$AI$36:$AR$36</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C4C5-4766-91A0-4E92ABA42F63}"/>
            </c:ext>
          </c:extLst>
        </c:ser>
        <c:ser>
          <c:idx val="2"/>
          <c:order val="2"/>
          <c:tx>
            <c:strRef>
              <c:f>'8G. Gage R'!$AH$37</c:f>
              <c:strCache>
                <c:ptCount val="1"/>
                <c:pt idx="0">
                  <c:v>RANGE</c:v>
                </c:pt>
              </c:strCache>
            </c:strRef>
          </c:tx>
          <c:spPr>
            <a:ln w="12700">
              <a:solidFill>
                <a:srgbClr val="0000FF"/>
              </a:solidFill>
              <a:prstDash val="solid"/>
            </a:ln>
          </c:spPr>
          <c:marker>
            <c:symbol val="circle"/>
            <c:size val="5"/>
            <c:spPr>
              <a:solidFill>
                <a:srgbClr val="0000FF"/>
              </a:solidFill>
              <a:ln>
                <a:solidFill>
                  <a:srgbClr val="0000FF"/>
                </a:solidFill>
                <a:prstDash val="solid"/>
              </a:ln>
            </c:spPr>
          </c:marker>
          <c:cat>
            <c:numRef>
              <c:f>'8G. Gage R'!$AI$34:$AR$34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'8G. Gage R'!$AI$37:$AR$37</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C4C5-4766-91A0-4E92ABA42F63}"/>
            </c:ext>
          </c:extLst>
        </c:ser>
        <c:ser>
          <c:idx val="3"/>
          <c:order val="3"/>
          <c:tx>
            <c:strRef>
              <c:f>'8G. Gage R'!$AH$38</c:f>
              <c:strCache>
                <c:ptCount val="1"/>
                <c:pt idx="0">
                  <c:v>LCL LINE</c:v>
                </c:pt>
              </c:strCache>
            </c:strRef>
          </c:tx>
          <c:spPr>
            <a:ln w="12700">
              <a:solidFill>
                <a:srgbClr val="FF0000"/>
              </a:solidFill>
              <a:prstDash val="solid"/>
            </a:ln>
          </c:spPr>
          <c:marker>
            <c:symbol val="none"/>
          </c:marker>
          <c:cat>
            <c:numRef>
              <c:f>'8G. Gage R'!$AI$34:$AR$34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'8G. Gage R'!$AI$38:$AR$38</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C4C5-4766-91A0-4E92ABA42F63}"/>
            </c:ext>
          </c:extLst>
        </c:ser>
        <c:dLbls>
          <c:showLegendKey val="0"/>
          <c:showVal val="0"/>
          <c:showCatName val="0"/>
          <c:showSerName val="0"/>
          <c:showPercent val="0"/>
          <c:showBubbleSize val="0"/>
        </c:dLbls>
        <c:smooth val="0"/>
        <c:axId val="818761528"/>
        <c:axId val="1"/>
      </c:lineChart>
      <c:catAx>
        <c:axId val="818761528"/>
        <c:scaling>
          <c:orientation val="minMax"/>
        </c:scaling>
        <c:delete val="0"/>
        <c:axPos val="b"/>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18761528"/>
        <c:crosses val="autoZero"/>
        <c:crossBetween val="midCat"/>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orientation="landscape" horizontalDpi="-4"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Range Chart -"Stacked"</a:t>
            </a:r>
          </a:p>
        </c:rich>
      </c:tx>
      <c:layout>
        <c:manualLayout>
          <c:xMode val="edge"/>
          <c:yMode val="edge"/>
          <c:x val="0.34285757001893752"/>
          <c:y val="3.5714435695538053E-2"/>
        </c:manualLayout>
      </c:layout>
      <c:overlay val="0"/>
      <c:spPr>
        <a:noFill/>
        <a:ln w="25400">
          <a:noFill/>
        </a:ln>
      </c:spPr>
    </c:title>
    <c:autoTitleDeleted val="0"/>
    <c:plotArea>
      <c:layout>
        <c:manualLayout>
          <c:layoutTarget val="inner"/>
          <c:xMode val="edge"/>
          <c:yMode val="edge"/>
          <c:x val="0.14453793373976967"/>
          <c:y val="0.22402597402597402"/>
          <c:w val="0.62184924981063694"/>
          <c:h val="0.51623376623376627"/>
        </c:manualLayout>
      </c:layout>
      <c:lineChart>
        <c:grouping val="standard"/>
        <c:varyColors val="0"/>
        <c:ser>
          <c:idx val="0"/>
          <c:order val="0"/>
          <c:tx>
            <c:strRef>
              <c:f>'8E. GR&amp;R Graphical'!$J$4</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Graphical'!$C$19:$L$19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59F8-4FF7-B1C1-9AA9904C1D64}"/>
            </c:ext>
          </c:extLst>
        </c:ser>
        <c:ser>
          <c:idx val="1"/>
          <c:order val="1"/>
          <c:tx>
            <c:strRef>
              <c:f>'8E. GR&amp;R Graphical'!$J$6</c:f>
              <c:strCache>
                <c:ptCount val="1"/>
                <c:pt idx="0">
                  <c:v>Appraiser B</c:v>
                </c:pt>
              </c:strCache>
            </c:strRef>
          </c:tx>
          <c:spPr>
            <a:ln w="12700">
              <a:solidFill>
                <a:srgbClr val="FF00FF"/>
              </a:solidFill>
              <a:prstDash val="sysDash"/>
            </a:ln>
          </c:spPr>
          <c:marker>
            <c:symbol val="square"/>
            <c:size val="5"/>
            <c:spPr>
              <a:solidFill>
                <a:srgbClr val="FF00FF"/>
              </a:solidFill>
              <a:ln>
                <a:solidFill>
                  <a:srgbClr val="FF00FF"/>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Graphical'!$C$24:$L$24</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59F8-4FF7-B1C1-9AA9904C1D64}"/>
            </c:ext>
          </c:extLst>
        </c:ser>
        <c:ser>
          <c:idx val="2"/>
          <c:order val="2"/>
          <c:tx>
            <c:strRef>
              <c:f>'8E. GR&amp;R Graphical'!$J$8</c:f>
              <c:strCache>
                <c:ptCount val="1"/>
                <c:pt idx="0">
                  <c:v>Appraiser C</c:v>
                </c:pt>
              </c:strCache>
            </c:strRef>
          </c:tx>
          <c:spPr>
            <a:ln w="12700">
              <a:solidFill>
                <a:srgbClr val="424242"/>
              </a:solidFill>
              <a:prstDash val="solid"/>
            </a:ln>
          </c:spPr>
          <c:marker>
            <c:symbol val="triangle"/>
            <c:size val="5"/>
            <c:spPr>
              <a:solidFill>
                <a:srgbClr val="424242"/>
              </a:solidFill>
              <a:ln>
                <a:solidFill>
                  <a:srgbClr val="424242"/>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Graphical'!$C$29:$L$29</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59F8-4FF7-B1C1-9AA9904C1D64}"/>
            </c:ext>
          </c:extLst>
        </c:ser>
        <c:ser>
          <c:idx val="3"/>
          <c:order val="3"/>
          <c:tx>
            <c:strRef>
              <c:f>'8E. GR&amp;R Graphical'!$P$53</c:f>
              <c:strCache>
                <c:ptCount val="1"/>
                <c:pt idx="0">
                  <c:v>Rucl</c:v>
                </c:pt>
              </c:strCache>
            </c:strRef>
          </c:tx>
          <c:spPr>
            <a:ln w="25400">
              <a:solidFill>
                <a:srgbClr val="339933"/>
              </a:solidFill>
              <a:prstDash val="solid"/>
            </a:ln>
          </c:spPr>
          <c:marker>
            <c:symbol val="none"/>
          </c:marker>
          <c:val>
            <c:numRef>
              <c:f>'8E. GR&amp;R Graphical'!$Q$53:$Z$53</c:f>
              <c:numCache>
                <c:formatCode>0.000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59F8-4FF7-B1C1-9AA9904C1D64}"/>
            </c:ext>
          </c:extLst>
        </c:ser>
        <c:dLbls>
          <c:showLegendKey val="0"/>
          <c:showVal val="0"/>
          <c:showCatName val="0"/>
          <c:showSerName val="0"/>
          <c:showPercent val="0"/>
          <c:showBubbleSize val="0"/>
        </c:dLbls>
        <c:marker val="1"/>
        <c:smooth val="0"/>
        <c:axId val="817764992"/>
        <c:axId val="1"/>
      </c:lineChart>
      <c:catAx>
        <c:axId val="817764992"/>
        <c:scaling>
          <c:orientation val="minMax"/>
        </c:scaling>
        <c:delete val="0"/>
        <c:axPos val="b"/>
        <c:title>
          <c:tx>
            <c:rich>
              <a:bodyPr/>
              <a:lstStyle/>
              <a:p>
                <a:pPr>
                  <a:defRPr sz="1175" b="1" i="0" u="none" strike="noStrike" baseline="0">
                    <a:solidFill>
                      <a:srgbClr val="000000"/>
                    </a:solidFill>
                    <a:latin typeface="Arial"/>
                    <a:ea typeface="Arial"/>
                    <a:cs typeface="Arial"/>
                  </a:defRPr>
                </a:pPr>
                <a:r>
                  <a:rPr lang="en-US"/>
                  <a:t>Part Number</a:t>
                </a:r>
              </a:p>
            </c:rich>
          </c:tx>
          <c:layout>
            <c:manualLayout>
              <c:xMode val="edge"/>
              <c:yMode val="edge"/>
              <c:x val="0.36974833050931921"/>
              <c:y val="0.857142607174103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en-US"/>
                  <a:t>Range</a:t>
                </a:r>
              </a:p>
            </c:rich>
          </c:tx>
          <c:layout>
            <c:manualLayout>
              <c:xMode val="edge"/>
              <c:yMode val="edge"/>
              <c:x val="2.6890760490381738E-2"/>
              <c:y val="0.4090908136482939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817764992"/>
        <c:crosses val="autoZero"/>
        <c:crossBetween val="between"/>
      </c:valAx>
      <c:spPr>
        <a:noFill/>
        <a:ln w="12700">
          <a:solidFill>
            <a:srgbClr val="808080"/>
          </a:solidFill>
          <a:prstDash val="solid"/>
        </a:ln>
      </c:spPr>
    </c:plotArea>
    <c:legend>
      <c:legendPos val="r"/>
      <c:layout>
        <c:manualLayout>
          <c:xMode val="edge"/>
          <c:yMode val="edge"/>
          <c:wMode val="edge"/>
          <c:hMode val="edge"/>
          <c:x val="0.77815193195787236"/>
          <c:y val="0.33441574803149604"/>
          <c:w val="0.99327818199940199"/>
          <c:h val="0.61038985126859147"/>
        </c:manualLayout>
      </c:layout>
      <c:overlay val="0"/>
      <c:spPr>
        <a:solidFill>
          <a:srgbClr val="FFFFFF"/>
        </a:solidFill>
        <a:ln w="3175">
          <a:solidFill>
            <a:srgbClr val="000000"/>
          </a:solidFill>
          <a:prstDash val="solid"/>
        </a:ln>
      </c:spPr>
      <c:txPr>
        <a:bodyPr/>
        <a:lstStyle/>
        <a:p>
          <a:pPr>
            <a:defRPr sz="77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Average Chart -"Unstacked"</a:t>
            </a:r>
          </a:p>
        </c:rich>
      </c:tx>
      <c:layout>
        <c:manualLayout>
          <c:xMode val="edge"/>
          <c:yMode val="edge"/>
          <c:x val="0.31428585667297915"/>
          <c:y val="3.5143577349860969E-2"/>
        </c:manualLayout>
      </c:layout>
      <c:overlay val="0"/>
      <c:spPr>
        <a:noFill/>
        <a:ln w="25400">
          <a:noFill/>
        </a:ln>
      </c:spPr>
    </c:title>
    <c:autoTitleDeleted val="0"/>
    <c:plotArea>
      <c:layout>
        <c:manualLayout>
          <c:layoutTarget val="inner"/>
          <c:xMode val="edge"/>
          <c:yMode val="edge"/>
          <c:x val="0.15462197562859081"/>
          <c:y val="0.22044762824422837"/>
          <c:w val="0.82184941393892297"/>
          <c:h val="0.53993694454021146"/>
        </c:manualLayout>
      </c:layout>
      <c:lineChart>
        <c:grouping val="standard"/>
        <c:varyColors val="0"/>
        <c:ser>
          <c:idx val="0"/>
          <c:order val="0"/>
          <c:tx>
            <c:strRef>
              <c:f>'8E. GR&amp;R Graphical'!$J$4</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'8E. GR&amp;R Graphical'!$Q$91:$AT$91</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'8E. GR&amp;R Graphical'!$Q$92:$AT$92</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3976-4992-9D40-62C3377AAA4B}"/>
            </c:ext>
          </c:extLst>
        </c:ser>
        <c:ser>
          <c:idx val="3"/>
          <c:order val="1"/>
          <c:tx>
            <c:v>UCL A</c:v>
          </c:tx>
          <c:spPr>
            <a:ln w="25400">
              <a:solidFill>
                <a:srgbClr val="339933"/>
              </a:solidFill>
              <a:prstDash val="solid"/>
            </a:ln>
          </c:spPr>
          <c:marker>
            <c:symbol val="none"/>
          </c:marker>
          <c:cat>
            <c:numRef>
              <c:f>'8E. GR&amp;R Graphical'!$Q$91:$AT$91</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'8E. GR&amp;R Graphical'!$Q$51:$Z$51</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3976-4992-9D40-62C3377AAA4B}"/>
            </c:ext>
          </c:extLst>
        </c:ser>
        <c:ser>
          <c:idx val="4"/>
          <c:order val="2"/>
          <c:tx>
            <c:v>LCL A</c:v>
          </c:tx>
          <c:spPr>
            <a:ln w="25400">
              <a:solidFill>
                <a:srgbClr val="339933"/>
              </a:solidFill>
              <a:prstDash val="lgDash"/>
            </a:ln>
          </c:spPr>
          <c:marker>
            <c:symbol val="none"/>
          </c:marker>
          <c:cat>
            <c:numRef>
              <c:f>'8E. GR&amp;R Graphical'!$Q$91:$AT$91</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'8E. GR&amp;R Graphical'!$Q$52:$Z$52</c:f>
              <c:numCache>
                <c:formatCode>General</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3976-4992-9D40-62C3377AAA4B}"/>
            </c:ext>
          </c:extLst>
        </c:ser>
        <c:ser>
          <c:idx val="1"/>
          <c:order val="3"/>
          <c:tx>
            <c:v>UCL B</c:v>
          </c:tx>
          <c:spPr>
            <a:ln w="25400">
              <a:solidFill>
                <a:srgbClr val="339933"/>
              </a:solidFill>
              <a:prstDash val="solid"/>
            </a:ln>
          </c:spPr>
          <c:marker>
            <c:symbol val="none"/>
          </c:marker>
          <c:val>
            <c:numRef>
              <c:f>'8E. GR&amp;R Graphical'!$Q$94:$AT$94</c:f>
              <c:numCache>
                <c:formatCode>General</c:formatCode>
                <c:ptCount val="30"/>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3-3976-4992-9D40-62C3377AAA4B}"/>
            </c:ext>
          </c:extLst>
        </c:ser>
        <c:ser>
          <c:idx val="2"/>
          <c:order val="4"/>
          <c:tx>
            <c:v>LCL B</c:v>
          </c:tx>
          <c:spPr>
            <a:ln w="25400">
              <a:solidFill>
                <a:srgbClr val="339933"/>
              </a:solidFill>
              <a:prstDash val="lgDash"/>
            </a:ln>
          </c:spPr>
          <c:marker>
            <c:symbol val="none"/>
          </c:marker>
          <c:val>
            <c:numRef>
              <c:f>'8E. GR&amp;R Graphical'!$Q$95:$AT$95</c:f>
              <c:numCache>
                <c:formatCode>General</c:formatCode>
                <c:ptCount val="30"/>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4-3976-4992-9D40-62C3377AAA4B}"/>
            </c:ext>
          </c:extLst>
        </c:ser>
        <c:ser>
          <c:idx val="5"/>
          <c:order val="5"/>
          <c:tx>
            <c:v>UCL C</c:v>
          </c:tx>
          <c:spPr>
            <a:ln w="25400">
              <a:solidFill>
                <a:srgbClr val="339933"/>
              </a:solidFill>
              <a:prstDash val="solid"/>
            </a:ln>
          </c:spPr>
          <c:marker>
            <c:symbol val="none"/>
          </c:marker>
          <c:val>
            <c:numRef>
              <c:f>'8E. GR&amp;R Graphical'!$Q$96:$AT$96</c:f>
              <c:numCache>
                <c:formatCode>General</c:formatCode>
                <c:ptCount val="30"/>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5-3976-4992-9D40-62C3377AAA4B}"/>
            </c:ext>
          </c:extLst>
        </c:ser>
        <c:ser>
          <c:idx val="6"/>
          <c:order val="6"/>
          <c:tx>
            <c:v>LCL C</c:v>
          </c:tx>
          <c:spPr>
            <a:ln w="25400">
              <a:solidFill>
                <a:srgbClr val="339933"/>
              </a:solidFill>
              <a:prstDash val="lgDash"/>
            </a:ln>
          </c:spPr>
          <c:marker>
            <c:symbol val="none"/>
          </c:marker>
          <c:val>
            <c:numRef>
              <c:f>'8E. GR&amp;R Graphical'!$Q$97:$AT$97</c:f>
              <c:numCache>
                <c:formatCode>General</c:formatCode>
                <c:ptCount val="30"/>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6-3976-4992-9D40-62C3377AAA4B}"/>
            </c:ext>
          </c:extLst>
        </c:ser>
        <c:dLbls>
          <c:showLegendKey val="0"/>
          <c:showVal val="0"/>
          <c:showCatName val="0"/>
          <c:showSerName val="0"/>
          <c:showPercent val="0"/>
          <c:showBubbleSize val="0"/>
        </c:dLbls>
        <c:marker val="1"/>
        <c:smooth val="0"/>
        <c:axId val="817758760"/>
        <c:axId val="1"/>
      </c:lineChart>
      <c:catAx>
        <c:axId val="8177587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                             Appr B                                  Appr C</a:t>
                </a:r>
              </a:p>
            </c:rich>
          </c:tx>
          <c:layout>
            <c:manualLayout>
              <c:xMode val="edge"/>
              <c:yMode val="edge"/>
              <c:x val="0.21344562942290443"/>
              <c:y val="0.859426383583240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a:t>
                </a:r>
              </a:p>
            </c:rich>
          </c:tx>
          <c:layout>
            <c:manualLayout>
              <c:xMode val="edge"/>
              <c:yMode val="edge"/>
              <c:x val="2.6890760490381738E-2"/>
              <c:y val="0.38019212944916536"/>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775876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Range Chart -"Unstacked"</a:t>
            </a:r>
          </a:p>
        </c:rich>
      </c:tx>
      <c:layout>
        <c:manualLayout>
          <c:xMode val="edge"/>
          <c:yMode val="edge"/>
          <c:x val="0.32550343529333714"/>
          <c:y val="3.5031847133757961E-2"/>
        </c:manualLayout>
      </c:layout>
      <c:overlay val="0"/>
      <c:spPr>
        <a:noFill/>
        <a:ln w="25400">
          <a:noFill/>
        </a:ln>
      </c:spPr>
    </c:title>
    <c:autoTitleDeleted val="0"/>
    <c:plotArea>
      <c:layout>
        <c:manualLayout>
          <c:layoutTarget val="inner"/>
          <c:xMode val="edge"/>
          <c:yMode val="edge"/>
          <c:x val="0.15436241610738255"/>
          <c:y val="0.21974522292993631"/>
          <c:w val="0.82214765100671139"/>
          <c:h val="0.54140127388535031"/>
        </c:manualLayout>
      </c:layout>
      <c:lineChart>
        <c:grouping val="standard"/>
        <c:varyColors val="0"/>
        <c:ser>
          <c:idx val="0"/>
          <c:order val="0"/>
          <c:tx>
            <c:strRef>
              <c:f>'8E. GR&amp;R Graphical'!$J$4</c:f>
              <c:strCache>
                <c:ptCount val="1"/>
                <c:pt idx="0">
                  <c:v>Appraiser 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'8E. GR&amp;R Graphical'!$Q$91:$AT$91</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'8E. GR&amp;R Graphical'!$Q$93:$AT$93</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0-7AB6-4DA5-8D29-22CAEAA53977}"/>
            </c:ext>
          </c:extLst>
        </c:ser>
        <c:ser>
          <c:idx val="3"/>
          <c:order val="1"/>
          <c:tx>
            <c:v>UCL A</c:v>
          </c:tx>
          <c:spPr>
            <a:ln w="25400">
              <a:solidFill>
                <a:srgbClr val="339933"/>
              </a:solidFill>
              <a:prstDash val="solid"/>
            </a:ln>
          </c:spPr>
          <c:marker>
            <c:symbol val="none"/>
          </c:marker>
          <c:cat>
            <c:numRef>
              <c:f>'8E. GR&amp;R Graphical'!$Q$91:$AT$91</c:f>
              <c:numCache>
                <c:formatCode>General</c:formatCode>
                <c:ptCount val="30"/>
                <c:pt idx="0">
                  <c:v>1</c:v>
                </c:pt>
                <c:pt idx="1">
                  <c:v>2</c:v>
                </c:pt>
                <c:pt idx="2">
                  <c:v>3</c:v>
                </c:pt>
                <c:pt idx="3">
                  <c:v>4</c:v>
                </c:pt>
                <c:pt idx="4">
                  <c:v>5</c:v>
                </c:pt>
                <c:pt idx="5">
                  <c:v>6</c:v>
                </c:pt>
                <c:pt idx="6">
                  <c:v>7</c:v>
                </c:pt>
                <c:pt idx="7">
                  <c:v>8</c:v>
                </c:pt>
                <c:pt idx="8">
                  <c:v>9</c:v>
                </c:pt>
                <c:pt idx="9">
                  <c:v>10</c:v>
                </c:pt>
                <c:pt idx="10">
                  <c:v>1</c:v>
                </c:pt>
                <c:pt idx="11">
                  <c:v>2</c:v>
                </c:pt>
                <c:pt idx="12">
                  <c:v>3</c:v>
                </c:pt>
                <c:pt idx="13">
                  <c:v>4</c:v>
                </c:pt>
                <c:pt idx="14">
                  <c:v>5</c:v>
                </c:pt>
                <c:pt idx="15">
                  <c:v>6</c:v>
                </c:pt>
                <c:pt idx="16">
                  <c:v>7</c:v>
                </c:pt>
                <c:pt idx="17">
                  <c:v>8</c:v>
                </c:pt>
                <c:pt idx="18">
                  <c:v>9</c:v>
                </c:pt>
                <c:pt idx="19">
                  <c:v>10</c:v>
                </c:pt>
                <c:pt idx="20">
                  <c:v>1</c:v>
                </c:pt>
                <c:pt idx="21">
                  <c:v>2</c:v>
                </c:pt>
                <c:pt idx="22">
                  <c:v>3</c:v>
                </c:pt>
                <c:pt idx="23">
                  <c:v>4</c:v>
                </c:pt>
                <c:pt idx="24">
                  <c:v>5</c:v>
                </c:pt>
                <c:pt idx="25">
                  <c:v>6</c:v>
                </c:pt>
                <c:pt idx="26">
                  <c:v>7</c:v>
                </c:pt>
                <c:pt idx="27">
                  <c:v>8</c:v>
                </c:pt>
                <c:pt idx="28">
                  <c:v>9</c:v>
                </c:pt>
                <c:pt idx="29">
                  <c:v>10</c:v>
                </c:pt>
              </c:numCache>
            </c:numRef>
          </c:cat>
          <c:val>
            <c:numRef>
              <c:f>'8E. GR&amp;R Graphical'!$Q$53:$Z$53</c:f>
              <c:numCache>
                <c:formatCode>0.000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7AB6-4DA5-8D29-22CAEAA53977}"/>
            </c:ext>
          </c:extLst>
        </c:ser>
        <c:ser>
          <c:idx val="1"/>
          <c:order val="2"/>
          <c:tx>
            <c:v>UCL B</c:v>
          </c:tx>
          <c:spPr>
            <a:ln w="25400">
              <a:solidFill>
                <a:srgbClr val="339933"/>
              </a:solidFill>
              <a:prstDash val="solid"/>
            </a:ln>
          </c:spPr>
          <c:marker>
            <c:symbol val="none"/>
          </c:marker>
          <c:val>
            <c:numRef>
              <c:f>'8E. GR&amp;R Graphical'!$Q$98:$AT$98</c:f>
              <c:numCache>
                <c:formatCode>General</c:formatCode>
                <c:ptCount val="30"/>
                <c:pt idx="10" formatCode="0.000">
                  <c:v>0</c:v>
                </c:pt>
                <c:pt idx="11" formatCode="0.000">
                  <c:v>0</c:v>
                </c:pt>
                <c:pt idx="12" formatCode="0.000">
                  <c:v>0</c:v>
                </c:pt>
                <c:pt idx="13" formatCode="0.000">
                  <c:v>0</c:v>
                </c:pt>
                <c:pt idx="14" formatCode="0.000">
                  <c:v>0</c:v>
                </c:pt>
                <c:pt idx="15" formatCode="0.000">
                  <c:v>0</c:v>
                </c:pt>
                <c:pt idx="16" formatCode="0.000">
                  <c:v>0</c:v>
                </c:pt>
                <c:pt idx="17" formatCode="0.000">
                  <c:v>0</c:v>
                </c:pt>
                <c:pt idx="18" formatCode="0.000">
                  <c:v>0</c:v>
                </c:pt>
                <c:pt idx="19" formatCode="0.000">
                  <c:v>0</c:v>
                </c:pt>
              </c:numCache>
            </c:numRef>
          </c:val>
          <c:smooth val="0"/>
          <c:extLst>
            <c:ext xmlns:c16="http://schemas.microsoft.com/office/drawing/2014/chart" uri="{C3380CC4-5D6E-409C-BE32-E72D297353CC}">
              <c16:uniqueId val="{00000002-7AB6-4DA5-8D29-22CAEAA53977}"/>
            </c:ext>
          </c:extLst>
        </c:ser>
        <c:ser>
          <c:idx val="5"/>
          <c:order val="3"/>
          <c:tx>
            <c:v>UCL C</c:v>
          </c:tx>
          <c:spPr>
            <a:ln w="25400">
              <a:solidFill>
                <a:srgbClr val="339933"/>
              </a:solidFill>
              <a:prstDash val="solid"/>
            </a:ln>
          </c:spPr>
          <c:marker>
            <c:symbol val="none"/>
          </c:marker>
          <c:val>
            <c:numRef>
              <c:f>'8E. GR&amp;R Graphical'!$Q$99:$AT$99</c:f>
              <c:numCache>
                <c:formatCode>General</c:formatCode>
                <c:ptCount val="30"/>
                <c:pt idx="20" formatCode="0.000">
                  <c:v>0</c:v>
                </c:pt>
                <c:pt idx="21" formatCode="0.000">
                  <c:v>0</c:v>
                </c:pt>
                <c:pt idx="22" formatCode="0.000">
                  <c:v>0</c:v>
                </c:pt>
                <c:pt idx="23" formatCode="0.000">
                  <c:v>0</c:v>
                </c:pt>
                <c:pt idx="24" formatCode="0.000">
                  <c:v>0</c:v>
                </c:pt>
                <c:pt idx="25" formatCode="0.000">
                  <c:v>0</c:v>
                </c:pt>
                <c:pt idx="26" formatCode="0.000">
                  <c:v>0</c:v>
                </c:pt>
                <c:pt idx="27" formatCode="0.000">
                  <c:v>0</c:v>
                </c:pt>
                <c:pt idx="28" formatCode="0.000">
                  <c:v>0</c:v>
                </c:pt>
                <c:pt idx="29" formatCode="0.000">
                  <c:v>0</c:v>
                </c:pt>
              </c:numCache>
            </c:numRef>
          </c:val>
          <c:smooth val="0"/>
          <c:extLst>
            <c:ext xmlns:c16="http://schemas.microsoft.com/office/drawing/2014/chart" uri="{C3380CC4-5D6E-409C-BE32-E72D297353CC}">
              <c16:uniqueId val="{00000003-7AB6-4DA5-8D29-22CAEAA53977}"/>
            </c:ext>
          </c:extLst>
        </c:ser>
        <c:dLbls>
          <c:showLegendKey val="0"/>
          <c:showVal val="0"/>
          <c:showCatName val="0"/>
          <c:showSerName val="0"/>
          <c:showPercent val="0"/>
          <c:showBubbleSize val="0"/>
        </c:dLbls>
        <c:marker val="1"/>
        <c:smooth val="0"/>
        <c:axId val="817761056"/>
        <c:axId val="1"/>
      </c:lineChart>
      <c:catAx>
        <c:axId val="81776105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Appr A                             Appr B                                  Appr C</a:t>
                </a:r>
              </a:p>
            </c:rich>
          </c:tx>
          <c:layout>
            <c:manualLayout>
              <c:xMode val="edge"/>
              <c:yMode val="edge"/>
              <c:x val="0.21476500271589272"/>
              <c:y val="0.8598726114649681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a:t>
                </a:r>
              </a:p>
            </c:rich>
          </c:tx>
          <c:layout>
            <c:manualLayout>
              <c:xMode val="edge"/>
              <c:yMode val="edge"/>
              <c:x val="2.6845791195531838E-2"/>
              <c:y val="0.38216560509554143"/>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776105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Run Chart</a:t>
            </a:r>
          </a:p>
        </c:rich>
      </c:tx>
      <c:layout>
        <c:manualLayout>
          <c:xMode val="edge"/>
          <c:yMode val="edge"/>
          <c:x val="0.43025233396458351"/>
          <c:y val="3.0567685589519649E-2"/>
        </c:manualLayout>
      </c:layout>
      <c:overlay val="0"/>
      <c:spPr>
        <a:noFill/>
        <a:ln w="25400">
          <a:noFill/>
        </a:ln>
      </c:spPr>
    </c:title>
    <c:autoTitleDeleted val="0"/>
    <c:plotArea>
      <c:layout>
        <c:manualLayout>
          <c:layoutTarget val="inner"/>
          <c:xMode val="edge"/>
          <c:yMode val="edge"/>
          <c:x val="0.15462197562859081"/>
          <c:y val="0.16375545851528384"/>
          <c:w val="0.82184941393892297"/>
          <c:h val="0.66157205240174677"/>
        </c:manualLayout>
      </c:layout>
      <c:lineChart>
        <c:grouping val="standard"/>
        <c:varyColors val="0"/>
        <c:ser>
          <c:idx val="0"/>
          <c:order val="0"/>
          <c:spPr>
            <a:ln w="28575">
              <a:noFill/>
            </a:ln>
          </c:spPr>
          <c:marker>
            <c:symbol val="circle"/>
            <c:size val="5"/>
            <c:spPr>
              <a:solidFill>
                <a:srgbClr val="000000"/>
              </a:solidFill>
              <a:ln>
                <a:solidFill>
                  <a:srgbClr val="00000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Graphical'!$C$15:$L$15</c:f>
              <c:numCache>
                <c:formatCode>0.00</c:formatCode>
                <c:ptCount val="10"/>
              </c:numCache>
            </c:numRef>
          </c:val>
          <c:smooth val="0"/>
          <c:extLst>
            <c:ext xmlns:c16="http://schemas.microsoft.com/office/drawing/2014/chart" uri="{C3380CC4-5D6E-409C-BE32-E72D297353CC}">
              <c16:uniqueId val="{00000000-4AA1-49C4-85B0-2C20978014AF}"/>
            </c:ext>
          </c:extLst>
        </c:ser>
        <c:ser>
          <c:idx val="1"/>
          <c:order val="1"/>
          <c:spPr>
            <a:ln w="28575">
              <a:noFill/>
            </a:ln>
          </c:spPr>
          <c:marker>
            <c:symbol val="circle"/>
            <c:size val="5"/>
            <c:spPr>
              <a:solidFill>
                <a:srgbClr val="000000"/>
              </a:solidFill>
              <a:ln>
                <a:solidFill>
                  <a:srgbClr val="00000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Graphical'!$C$16:$L$16</c:f>
              <c:numCache>
                <c:formatCode>0.00</c:formatCode>
                <c:ptCount val="10"/>
              </c:numCache>
            </c:numRef>
          </c:val>
          <c:smooth val="0"/>
          <c:extLst>
            <c:ext xmlns:c16="http://schemas.microsoft.com/office/drawing/2014/chart" uri="{C3380CC4-5D6E-409C-BE32-E72D297353CC}">
              <c16:uniqueId val="{00000001-4AA1-49C4-85B0-2C20978014AF}"/>
            </c:ext>
          </c:extLst>
        </c:ser>
        <c:ser>
          <c:idx val="2"/>
          <c:order val="2"/>
          <c:spPr>
            <a:ln w="28575">
              <a:noFill/>
            </a:ln>
          </c:spPr>
          <c:marker>
            <c:symbol val="circle"/>
            <c:size val="5"/>
            <c:spPr>
              <a:solidFill>
                <a:srgbClr val="000000"/>
              </a:solidFill>
              <a:ln>
                <a:solidFill>
                  <a:srgbClr val="00000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Graphical'!$C$17:$L$17</c:f>
              <c:numCache>
                <c:formatCode>0.00</c:formatCode>
                <c:ptCount val="10"/>
              </c:numCache>
            </c:numRef>
          </c:val>
          <c:smooth val="0"/>
          <c:extLst>
            <c:ext xmlns:c16="http://schemas.microsoft.com/office/drawing/2014/chart" uri="{C3380CC4-5D6E-409C-BE32-E72D297353CC}">
              <c16:uniqueId val="{00000002-4AA1-49C4-85B0-2C20978014AF}"/>
            </c:ext>
          </c:extLst>
        </c:ser>
        <c:ser>
          <c:idx val="3"/>
          <c:order val="3"/>
          <c:spPr>
            <a:ln w="28575">
              <a:noFill/>
            </a:ln>
          </c:spPr>
          <c:marker>
            <c:symbol val="circle"/>
            <c:size val="5"/>
            <c:spPr>
              <a:solidFill>
                <a:srgbClr val="000000"/>
              </a:solidFill>
              <a:ln>
                <a:solidFill>
                  <a:srgbClr val="00000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Graphical'!$C$20:$L$20</c:f>
              <c:numCache>
                <c:formatCode>0.00</c:formatCode>
                <c:ptCount val="10"/>
              </c:numCache>
            </c:numRef>
          </c:val>
          <c:smooth val="0"/>
          <c:extLst>
            <c:ext xmlns:c16="http://schemas.microsoft.com/office/drawing/2014/chart" uri="{C3380CC4-5D6E-409C-BE32-E72D297353CC}">
              <c16:uniqueId val="{00000003-4AA1-49C4-85B0-2C20978014AF}"/>
            </c:ext>
          </c:extLst>
        </c:ser>
        <c:ser>
          <c:idx val="4"/>
          <c:order val="4"/>
          <c:spPr>
            <a:ln w="28575">
              <a:noFill/>
            </a:ln>
          </c:spPr>
          <c:marker>
            <c:symbol val="circle"/>
            <c:size val="5"/>
            <c:spPr>
              <a:solidFill>
                <a:srgbClr val="000000"/>
              </a:solidFill>
              <a:ln>
                <a:solidFill>
                  <a:srgbClr val="00000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Graphical'!$C$21:$L$21</c:f>
              <c:numCache>
                <c:formatCode>0.00</c:formatCode>
                <c:ptCount val="10"/>
              </c:numCache>
            </c:numRef>
          </c:val>
          <c:smooth val="0"/>
          <c:extLst>
            <c:ext xmlns:c16="http://schemas.microsoft.com/office/drawing/2014/chart" uri="{C3380CC4-5D6E-409C-BE32-E72D297353CC}">
              <c16:uniqueId val="{00000004-4AA1-49C4-85B0-2C20978014AF}"/>
            </c:ext>
          </c:extLst>
        </c:ser>
        <c:ser>
          <c:idx val="5"/>
          <c:order val="5"/>
          <c:spPr>
            <a:ln w="28575">
              <a:noFill/>
            </a:ln>
          </c:spPr>
          <c:marker>
            <c:symbol val="circle"/>
            <c:size val="5"/>
            <c:spPr>
              <a:solidFill>
                <a:srgbClr val="000000"/>
              </a:solidFill>
              <a:ln>
                <a:solidFill>
                  <a:srgbClr val="00000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Graphical'!$C$22:$L$22</c:f>
              <c:numCache>
                <c:formatCode>0.00</c:formatCode>
                <c:ptCount val="10"/>
              </c:numCache>
            </c:numRef>
          </c:val>
          <c:smooth val="0"/>
          <c:extLst>
            <c:ext xmlns:c16="http://schemas.microsoft.com/office/drawing/2014/chart" uri="{C3380CC4-5D6E-409C-BE32-E72D297353CC}">
              <c16:uniqueId val="{00000005-4AA1-49C4-85B0-2C20978014AF}"/>
            </c:ext>
          </c:extLst>
        </c:ser>
        <c:ser>
          <c:idx val="6"/>
          <c:order val="6"/>
          <c:spPr>
            <a:ln w="28575">
              <a:noFill/>
            </a:ln>
          </c:spPr>
          <c:marker>
            <c:symbol val="circle"/>
            <c:size val="5"/>
            <c:spPr>
              <a:solidFill>
                <a:srgbClr val="000000"/>
              </a:solidFill>
              <a:ln>
                <a:solidFill>
                  <a:srgbClr val="00000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Graphical'!$C$25:$L$25</c:f>
              <c:numCache>
                <c:formatCode>0.00</c:formatCode>
                <c:ptCount val="10"/>
              </c:numCache>
            </c:numRef>
          </c:val>
          <c:smooth val="0"/>
          <c:extLst>
            <c:ext xmlns:c16="http://schemas.microsoft.com/office/drawing/2014/chart" uri="{C3380CC4-5D6E-409C-BE32-E72D297353CC}">
              <c16:uniqueId val="{00000006-4AA1-49C4-85B0-2C20978014AF}"/>
            </c:ext>
          </c:extLst>
        </c:ser>
        <c:ser>
          <c:idx val="7"/>
          <c:order val="7"/>
          <c:spPr>
            <a:ln w="28575">
              <a:noFill/>
            </a:ln>
          </c:spPr>
          <c:marker>
            <c:symbol val="circle"/>
            <c:size val="5"/>
            <c:spPr>
              <a:solidFill>
                <a:srgbClr val="000000"/>
              </a:solidFill>
              <a:ln>
                <a:solidFill>
                  <a:srgbClr val="00000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Graphical'!$C$26:$L$26</c:f>
              <c:numCache>
                <c:formatCode>0.00</c:formatCode>
                <c:ptCount val="10"/>
              </c:numCache>
            </c:numRef>
          </c:val>
          <c:smooth val="0"/>
          <c:extLst>
            <c:ext xmlns:c16="http://schemas.microsoft.com/office/drawing/2014/chart" uri="{C3380CC4-5D6E-409C-BE32-E72D297353CC}">
              <c16:uniqueId val="{00000007-4AA1-49C4-85B0-2C20978014AF}"/>
            </c:ext>
          </c:extLst>
        </c:ser>
        <c:ser>
          <c:idx val="8"/>
          <c:order val="8"/>
          <c:spPr>
            <a:ln w="28575">
              <a:noFill/>
            </a:ln>
          </c:spPr>
          <c:marker>
            <c:symbol val="circle"/>
            <c:size val="5"/>
            <c:spPr>
              <a:solidFill>
                <a:srgbClr val="000000"/>
              </a:solidFill>
              <a:ln>
                <a:solidFill>
                  <a:srgbClr val="000000"/>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Graphical'!$C$27:$L$27</c:f>
              <c:numCache>
                <c:formatCode>0.00</c:formatCode>
                <c:ptCount val="10"/>
              </c:numCache>
            </c:numRef>
          </c:val>
          <c:smooth val="0"/>
          <c:extLst>
            <c:ext xmlns:c16="http://schemas.microsoft.com/office/drawing/2014/chart" uri="{C3380CC4-5D6E-409C-BE32-E72D297353CC}">
              <c16:uniqueId val="{00000008-4AA1-49C4-85B0-2C20978014AF}"/>
            </c:ext>
          </c:extLst>
        </c:ser>
        <c:ser>
          <c:idx val="9"/>
          <c:order val="9"/>
          <c:spPr>
            <a:ln w="25400">
              <a:solidFill>
                <a:srgbClr val="339933"/>
              </a:solidFill>
              <a:prstDash val="solid"/>
            </a:ln>
          </c:spPr>
          <c:marker>
            <c:symbol val="circle"/>
            <c:size val="8"/>
            <c:spPr>
              <a:solidFill>
                <a:srgbClr val="339933"/>
              </a:solidFill>
              <a:ln>
                <a:solidFill>
                  <a:srgbClr val="339933"/>
                </a:solidFill>
                <a:prstDash val="solid"/>
              </a:ln>
            </c:spPr>
          </c:marker>
          <c:cat>
            <c:numRef>
              <c:f>'8E. GR&amp;R Graphical'!$C$14:$L$14</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'8E. GR&amp;R Graphical'!$C$31:$L$31</c:f>
              <c:numCache>
                <c:formatCode>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9-4AA1-49C4-85B0-2C20978014AF}"/>
            </c:ext>
          </c:extLst>
        </c:ser>
        <c:dLbls>
          <c:showLegendKey val="0"/>
          <c:showVal val="0"/>
          <c:showCatName val="0"/>
          <c:showSerName val="0"/>
          <c:showPercent val="0"/>
          <c:showBubbleSize val="0"/>
        </c:dLbls>
        <c:marker val="1"/>
        <c:smooth val="0"/>
        <c:axId val="817755480"/>
        <c:axId val="1"/>
      </c:lineChart>
      <c:catAx>
        <c:axId val="81775548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Part</a:t>
                </a:r>
              </a:p>
            </c:rich>
          </c:tx>
          <c:layout>
            <c:manualLayout>
              <c:xMode val="edge"/>
              <c:yMode val="edge"/>
              <c:x val="0.53445413468886005"/>
              <c:y val="0.903930131004366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Value</a:t>
                </a:r>
              </a:p>
            </c:rich>
          </c:tx>
          <c:layout>
            <c:manualLayout>
              <c:xMode val="edge"/>
              <c:yMode val="edge"/>
              <c:x val="2.6890760490381738E-2"/>
              <c:y val="0.44104803493449779"/>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77554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Scatter Plot</a:t>
            </a:r>
          </a:p>
        </c:rich>
      </c:tx>
      <c:layout>
        <c:manualLayout>
          <c:xMode val="edge"/>
          <c:yMode val="edge"/>
          <c:x val="0.4069766161858876"/>
          <c:y val="3.5714285714285712E-2"/>
        </c:manualLayout>
      </c:layout>
      <c:overlay val="0"/>
      <c:spPr>
        <a:noFill/>
        <a:ln w="25400">
          <a:noFill/>
        </a:ln>
      </c:spPr>
    </c:title>
    <c:autoTitleDeleted val="0"/>
    <c:plotArea>
      <c:layout>
        <c:manualLayout>
          <c:layoutTarget val="inner"/>
          <c:xMode val="edge"/>
          <c:yMode val="edge"/>
          <c:x val="0.10299003322259136"/>
          <c:y val="0.23376623376623376"/>
          <c:w val="0.87375415282392022"/>
          <c:h val="0.59740259740259738"/>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'8E. GR&amp;R Graphical'!$Q$172:$BI$172</c:f>
              <c:strCache>
                <c:ptCount val="41"/>
                <c:pt idx="4">
                  <c:v>Part 1</c:v>
                </c:pt>
                <c:pt idx="13">
                  <c:v>Part 2</c:v>
                </c:pt>
                <c:pt idx="22">
                  <c:v>Part 3</c:v>
                </c:pt>
                <c:pt idx="31">
                  <c:v>Part 4</c:v>
                </c:pt>
                <c:pt idx="40">
                  <c:v>Part 5</c:v>
                </c:pt>
              </c:strCache>
            </c:strRef>
          </c:cat>
          <c:val>
            <c:numRef>
              <c:f>'8E. GR&amp;R Graphical'!$Q$174:$BI$174</c:f>
              <c:numCache>
                <c:formatCode>0.00</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522C-44DC-A39A-EC546DF7E42F}"/>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val>
            <c:numRef>
              <c:f>'8E. GR&amp;R Graphical'!$Q$175:$BI$175</c:f>
              <c:numCache>
                <c:formatCode>General</c:formatCode>
                <c:ptCount val="45"/>
                <c:pt idx="3" formatCode="0.00">
                  <c:v>0</c:v>
                </c:pt>
                <c:pt idx="4" formatCode="0.00">
                  <c:v>0</c:v>
                </c:pt>
                <c:pt idx="5" formatCode="0.00">
                  <c:v>0</c:v>
                </c:pt>
                <c:pt idx="12" formatCode="0.00">
                  <c:v>0</c:v>
                </c:pt>
                <c:pt idx="13" formatCode="0.00">
                  <c:v>0</c:v>
                </c:pt>
                <c:pt idx="14" formatCode="0.00">
                  <c:v>0</c:v>
                </c:pt>
                <c:pt idx="21" formatCode="0.00">
                  <c:v>0</c:v>
                </c:pt>
                <c:pt idx="22" formatCode="0.00">
                  <c:v>0</c:v>
                </c:pt>
                <c:pt idx="23" formatCode="0.00">
                  <c:v>0</c:v>
                </c:pt>
                <c:pt idx="30" formatCode="0.00">
                  <c:v>0</c:v>
                </c:pt>
                <c:pt idx="31" formatCode="0.00">
                  <c:v>0</c:v>
                </c:pt>
                <c:pt idx="32" formatCode="0.00">
                  <c:v>0</c:v>
                </c:pt>
                <c:pt idx="39" formatCode="0.00">
                  <c:v>0</c:v>
                </c:pt>
                <c:pt idx="40" formatCode="0.00">
                  <c:v>0</c:v>
                </c:pt>
                <c:pt idx="41" formatCode="0.00">
                  <c:v>0</c:v>
                </c:pt>
              </c:numCache>
            </c:numRef>
          </c:val>
          <c:smooth val="0"/>
          <c:extLst>
            <c:ext xmlns:c16="http://schemas.microsoft.com/office/drawing/2014/chart" uri="{C3380CC4-5D6E-409C-BE32-E72D297353CC}">
              <c16:uniqueId val="{00000001-522C-44DC-A39A-EC546DF7E42F}"/>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val>
            <c:numRef>
              <c:f>'8E. GR&amp;R Graphical'!$Q$176:$BI$176</c:f>
              <c:numCache>
                <c:formatCode>General</c:formatCode>
                <c:ptCount val="45"/>
                <c:pt idx="6" formatCode="0.00">
                  <c:v>0</c:v>
                </c:pt>
                <c:pt idx="7" formatCode="0.00">
                  <c:v>0</c:v>
                </c:pt>
                <c:pt idx="8" formatCode="0.00">
                  <c:v>0</c:v>
                </c:pt>
                <c:pt idx="15" formatCode="0.00">
                  <c:v>0</c:v>
                </c:pt>
                <c:pt idx="16" formatCode="0.00">
                  <c:v>0</c:v>
                </c:pt>
                <c:pt idx="17" formatCode="0.00">
                  <c:v>0</c:v>
                </c:pt>
                <c:pt idx="24" formatCode="0.00">
                  <c:v>0</c:v>
                </c:pt>
                <c:pt idx="25" formatCode="0.00">
                  <c:v>0</c:v>
                </c:pt>
                <c:pt idx="26" formatCode="0.00">
                  <c:v>0</c:v>
                </c:pt>
                <c:pt idx="33" formatCode="0.00">
                  <c:v>0</c:v>
                </c:pt>
                <c:pt idx="34" formatCode="0.00">
                  <c:v>0</c:v>
                </c:pt>
                <c:pt idx="35" formatCode="0.00">
                  <c:v>0</c:v>
                </c:pt>
                <c:pt idx="42" formatCode="0.00">
                  <c:v>0</c:v>
                </c:pt>
                <c:pt idx="43" formatCode="0.00">
                  <c:v>0</c:v>
                </c:pt>
                <c:pt idx="44" formatCode="0.00">
                  <c:v>0</c:v>
                </c:pt>
              </c:numCache>
            </c:numRef>
          </c:val>
          <c:smooth val="0"/>
          <c:extLst>
            <c:ext xmlns:c16="http://schemas.microsoft.com/office/drawing/2014/chart" uri="{C3380CC4-5D6E-409C-BE32-E72D297353CC}">
              <c16:uniqueId val="{00000002-522C-44DC-A39A-EC546DF7E42F}"/>
            </c:ext>
          </c:extLst>
        </c:ser>
        <c:dLbls>
          <c:showLegendKey val="0"/>
          <c:showVal val="0"/>
          <c:showCatName val="0"/>
          <c:showSerName val="0"/>
          <c:showPercent val="0"/>
          <c:showBubbleSize val="0"/>
        </c:dLbls>
        <c:marker val="1"/>
        <c:smooth val="0"/>
        <c:axId val="817764008"/>
        <c:axId val="1"/>
      </c:lineChart>
      <c:catAx>
        <c:axId val="817764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81776400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Scatter Plot</a:t>
            </a:r>
          </a:p>
        </c:rich>
      </c:tx>
      <c:layout>
        <c:manualLayout>
          <c:xMode val="edge"/>
          <c:yMode val="edge"/>
          <c:x val="0.40796079396325458"/>
          <c:y val="3.5947712418300651E-2"/>
        </c:manualLayout>
      </c:layout>
      <c:overlay val="0"/>
      <c:spPr>
        <a:noFill/>
        <a:ln w="25400">
          <a:noFill/>
        </a:ln>
      </c:spPr>
    </c:title>
    <c:autoTitleDeleted val="0"/>
    <c:plotArea>
      <c:layout>
        <c:manualLayout>
          <c:layoutTarget val="inner"/>
          <c:xMode val="edge"/>
          <c:yMode val="edge"/>
          <c:x val="0.10281940366430165"/>
          <c:y val="0.23529486856256562"/>
          <c:w val="0.87396493114656393"/>
          <c:h val="0.57516523426404931"/>
        </c:manualLayout>
      </c:layout>
      <c:lineChart>
        <c:grouping val="standard"/>
        <c:varyColors val="0"/>
        <c:ser>
          <c:idx val="0"/>
          <c:order val="0"/>
          <c:tx>
            <c:v>Appr A</c:v>
          </c:tx>
          <c:spPr>
            <a:ln w="12700">
              <a:solidFill>
                <a:srgbClr val="000080"/>
              </a:solidFill>
              <a:prstDash val="solid"/>
            </a:ln>
          </c:spPr>
          <c:marker>
            <c:symbol val="diamond"/>
            <c:size val="5"/>
            <c:spPr>
              <a:solidFill>
                <a:srgbClr val="000080"/>
              </a:solidFill>
              <a:ln>
                <a:solidFill>
                  <a:srgbClr val="000080"/>
                </a:solidFill>
                <a:prstDash val="solid"/>
              </a:ln>
            </c:spPr>
          </c:marker>
          <c:cat>
            <c:strRef>
              <c:f>'8E. GR&amp;R Graphical'!$Q$178:$BI$178</c:f>
              <c:strCache>
                <c:ptCount val="41"/>
                <c:pt idx="4">
                  <c:v>Part 6</c:v>
                </c:pt>
                <c:pt idx="13">
                  <c:v>Part 7</c:v>
                </c:pt>
                <c:pt idx="22">
                  <c:v>Part 8</c:v>
                </c:pt>
                <c:pt idx="31">
                  <c:v>Part 9</c:v>
                </c:pt>
                <c:pt idx="40">
                  <c:v>Part 10</c:v>
                </c:pt>
              </c:strCache>
            </c:strRef>
          </c:cat>
          <c:val>
            <c:numRef>
              <c:f>'8E. GR&amp;R Graphical'!$Q$180:$BI$180</c:f>
              <c:numCache>
                <c:formatCode>0.00</c:formatCode>
                <c:ptCount val="45"/>
                <c:pt idx="0">
                  <c:v>0</c:v>
                </c:pt>
                <c:pt idx="1">
                  <c:v>0</c:v>
                </c:pt>
                <c:pt idx="2">
                  <c:v>0</c:v>
                </c:pt>
                <c:pt idx="9">
                  <c:v>0</c:v>
                </c:pt>
                <c:pt idx="10">
                  <c:v>0</c:v>
                </c:pt>
                <c:pt idx="11">
                  <c:v>0</c:v>
                </c:pt>
                <c:pt idx="18">
                  <c:v>0</c:v>
                </c:pt>
                <c:pt idx="19">
                  <c:v>0</c:v>
                </c:pt>
                <c:pt idx="20">
                  <c:v>0</c:v>
                </c:pt>
                <c:pt idx="27">
                  <c:v>0</c:v>
                </c:pt>
                <c:pt idx="28">
                  <c:v>0</c:v>
                </c:pt>
                <c:pt idx="29">
                  <c:v>0</c:v>
                </c:pt>
                <c:pt idx="36">
                  <c:v>0</c:v>
                </c:pt>
                <c:pt idx="37">
                  <c:v>0</c:v>
                </c:pt>
                <c:pt idx="38">
                  <c:v>0</c:v>
                </c:pt>
              </c:numCache>
            </c:numRef>
          </c:val>
          <c:smooth val="0"/>
          <c:extLst>
            <c:ext xmlns:c16="http://schemas.microsoft.com/office/drawing/2014/chart" uri="{C3380CC4-5D6E-409C-BE32-E72D297353CC}">
              <c16:uniqueId val="{00000000-7AAD-49E9-ABDB-8809BFF2826F}"/>
            </c:ext>
          </c:extLst>
        </c:ser>
        <c:ser>
          <c:idx val="1"/>
          <c:order val="1"/>
          <c:tx>
            <c:v>Appr B</c:v>
          </c:tx>
          <c:spPr>
            <a:ln w="12700">
              <a:solidFill>
                <a:srgbClr val="339933"/>
              </a:solidFill>
              <a:prstDash val="solid"/>
            </a:ln>
          </c:spPr>
          <c:marker>
            <c:symbol val="square"/>
            <c:size val="5"/>
            <c:spPr>
              <a:solidFill>
                <a:srgbClr val="339933"/>
              </a:solidFill>
              <a:ln>
                <a:solidFill>
                  <a:srgbClr val="339933"/>
                </a:solidFill>
                <a:prstDash val="solid"/>
              </a:ln>
            </c:spPr>
          </c:marker>
          <c:cat>
            <c:strRef>
              <c:f>'8E. GR&amp;R Graphical'!$Q$178:$BI$178</c:f>
              <c:strCache>
                <c:ptCount val="41"/>
                <c:pt idx="4">
                  <c:v>Part 6</c:v>
                </c:pt>
                <c:pt idx="13">
                  <c:v>Part 7</c:v>
                </c:pt>
                <c:pt idx="22">
                  <c:v>Part 8</c:v>
                </c:pt>
                <c:pt idx="31">
                  <c:v>Part 9</c:v>
                </c:pt>
                <c:pt idx="40">
                  <c:v>Part 10</c:v>
                </c:pt>
              </c:strCache>
            </c:strRef>
          </c:cat>
          <c:val>
            <c:numRef>
              <c:f>'8E. GR&amp;R Graphical'!$Q$181:$BI$181</c:f>
              <c:numCache>
                <c:formatCode>General</c:formatCode>
                <c:ptCount val="45"/>
                <c:pt idx="3" formatCode="0.00">
                  <c:v>0</c:v>
                </c:pt>
                <c:pt idx="4" formatCode="0.00">
                  <c:v>0</c:v>
                </c:pt>
                <c:pt idx="5" formatCode="0.00">
                  <c:v>0</c:v>
                </c:pt>
                <c:pt idx="12" formatCode="0.00">
                  <c:v>0</c:v>
                </c:pt>
                <c:pt idx="13" formatCode="0.00">
                  <c:v>0</c:v>
                </c:pt>
                <c:pt idx="14" formatCode="0.00">
                  <c:v>0</c:v>
                </c:pt>
                <c:pt idx="21" formatCode="0.00">
                  <c:v>0</c:v>
                </c:pt>
                <c:pt idx="22" formatCode="0.00">
                  <c:v>0</c:v>
                </c:pt>
                <c:pt idx="23" formatCode="0.00">
                  <c:v>0</c:v>
                </c:pt>
                <c:pt idx="30" formatCode="0.00">
                  <c:v>0</c:v>
                </c:pt>
                <c:pt idx="31" formatCode="0.00">
                  <c:v>0</c:v>
                </c:pt>
                <c:pt idx="32" formatCode="0.00">
                  <c:v>0</c:v>
                </c:pt>
                <c:pt idx="39" formatCode="0.00">
                  <c:v>0</c:v>
                </c:pt>
                <c:pt idx="40" formatCode="0.00">
                  <c:v>0</c:v>
                </c:pt>
                <c:pt idx="41" formatCode="0.00">
                  <c:v>0</c:v>
                </c:pt>
              </c:numCache>
            </c:numRef>
          </c:val>
          <c:smooth val="0"/>
          <c:extLst>
            <c:ext xmlns:c16="http://schemas.microsoft.com/office/drawing/2014/chart" uri="{C3380CC4-5D6E-409C-BE32-E72D297353CC}">
              <c16:uniqueId val="{00000001-7AAD-49E9-ABDB-8809BFF2826F}"/>
            </c:ext>
          </c:extLst>
        </c:ser>
        <c:ser>
          <c:idx val="2"/>
          <c:order val="2"/>
          <c:tx>
            <c:v>Appr C</c:v>
          </c:tx>
          <c:spPr>
            <a:ln w="12700">
              <a:solidFill>
                <a:srgbClr val="FF0000"/>
              </a:solidFill>
              <a:prstDash val="solid"/>
            </a:ln>
          </c:spPr>
          <c:marker>
            <c:symbol val="triangle"/>
            <c:size val="5"/>
            <c:spPr>
              <a:solidFill>
                <a:srgbClr val="FF0000"/>
              </a:solidFill>
              <a:ln>
                <a:solidFill>
                  <a:srgbClr val="FF0000"/>
                </a:solidFill>
                <a:prstDash val="solid"/>
              </a:ln>
            </c:spPr>
          </c:marker>
          <c:cat>
            <c:strRef>
              <c:f>'8E. GR&amp;R Graphical'!$Q$178:$BI$178</c:f>
              <c:strCache>
                <c:ptCount val="41"/>
                <c:pt idx="4">
                  <c:v>Part 6</c:v>
                </c:pt>
                <c:pt idx="13">
                  <c:v>Part 7</c:v>
                </c:pt>
                <c:pt idx="22">
                  <c:v>Part 8</c:v>
                </c:pt>
                <c:pt idx="31">
                  <c:v>Part 9</c:v>
                </c:pt>
                <c:pt idx="40">
                  <c:v>Part 10</c:v>
                </c:pt>
              </c:strCache>
            </c:strRef>
          </c:cat>
          <c:val>
            <c:numRef>
              <c:f>'8E. GR&amp;R Graphical'!$Q$182:$BI$182</c:f>
              <c:numCache>
                <c:formatCode>General</c:formatCode>
                <c:ptCount val="45"/>
                <c:pt idx="6" formatCode="0.00">
                  <c:v>0</c:v>
                </c:pt>
                <c:pt idx="7" formatCode="0.00">
                  <c:v>0</c:v>
                </c:pt>
                <c:pt idx="8" formatCode="0.00">
                  <c:v>0</c:v>
                </c:pt>
                <c:pt idx="15" formatCode="0.00">
                  <c:v>0</c:v>
                </c:pt>
                <c:pt idx="16" formatCode="0.00">
                  <c:v>0</c:v>
                </c:pt>
                <c:pt idx="17" formatCode="0.00">
                  <c:v>0</c:v>
                </c:pt>
                <c:pt idx="24" formatCode="0.00">
                  <c:v>0</c:v>
                </c:pt>
                <c:pt idx="25" formatCode="0.00">
                  <c:v>0</c:v>
                </c:pt>
                <c:pt idx="26" formatCode="0.00">
                  <c:v>0</c:v>
                </c:pt>
                <c:pt idx="33" formatCode="0.00">
                  <c:v>0</c:v>
                </c:pt>
                <c:pt idx="34" formatCode="0.00">
                  <c:v>0</c:v>
                </c:pt>
                <c:pt idx="35" formatCode="0.00">
                  <c:v>0</c:v>
                </c:pt>
                <c:pt idx="42" formatCode="0.00">
                  <c:v>0</c:v>
                </c:pt>
                <c:pt idx="43" formatCode="0.00">
                  <c:v>0</c:v>
                </c:pt>
                <c:pt idx="44" formatCode="0.00">
                  <c:v>0</c:v>
                </c:pt>
              </c:numCache>
            </c:numRef>
          </c:val>
          <c:smooth val="0"/>
          <c:extLst>
            <c:ext xmlns:c16="http://schemas.microsoft.com/office/drawing/2014/chart" uri="{C3380CC4-5D6E-409C-BE32-E72D297353CC}">
              <c16:uniqueId val="{00000002-7AAD-49E9-ABDB-8809BFF2826F}"/>
            </c:ext>
          </c:extLst>
        </c:ser>
        <c:dLbls>
          <c:showLegendKey val="0"/>
          <c:showVal val="0"/>
          <c:showCatName val="0"/>
          <c:showSerName val="0"/>
          <c:showPercent val="0"/>
          <c:showBubbleSize val="0"/>
        </c:dLbls>
        <c:marker val="1"/>
        <c:smooth val="0"/>
        <c:axId val="817763024"/>
        <c:axId val="1"/>
      </c:lineChart>
      <c:catAx>
        <c:axId val="8177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1175" b="0" i="0" u="none" strike="noStrike" baseline="0">
                <a:solidFill>
                  <a:srgbClr val="000000"/>
                </a:solidFill>
                <a:latin typeface="Arial"/>
                <a:ea typeface="Arial"/>
                <a:cs typeface="Arial"/>
              </a:defRPr>
            </a:pPr>
            <a:endParaRPr lang="en-US"/>
          </a:p>
        </c:txPr>
        <c:crossAx val="81776302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US"/>
              <a:t>Whiskers Chart - Appraiser A</a:t>
            </a:r>
          </a:p>
        </c:rich>
      </c:tx>
      <c:layout>
        <c:manualLayout>
          <c:xMode val="edge"/>
          <c:yMode val="edge"/>
          <c:x val="0.34876035355393659"/>
          <c:y val="4.1860465116279069E-2"/>
        </c:manualLayout>
      </c:layout>
      <c:overlay val="0"/>
      <c:spPr>
        <a:noFill/>
        <a:ln w="25400">
          <a:noFill/>
        </a:ln>
      </c:spPr>
    </c:title>
    <c:autoTitleDeleted val="0"/>
    <c:plotArea>
      <c:layout>
        <c:manualLayout>
          <c:layoutTarget val="inner"/>
          <c:xMode val="edge"/>
          <c:yMode val="edge"/>
          <c:x val="7.6033057851239663E-2"/>
          <c:y val="0.26046511627906976"/>
          <c:w val="0.88760330578512392"/>
          <c:h val="0.5488372093023256"/>
        </c:manualLayout>
      </c:layout>
      <c:scatterChart>
        <c:scatterStyle val="lineMarker"/>
        <c:varyColors val="0"/>
        <c:ser>
          <c:idx val="0"/>
          <c:order val="0"/>
          <c:spPr>
            <a:ln w="28575">
              <a:noFill/>
            </a:ln>
          </c:spPr>
          <c:marker>
            <c:symbol val="diamond"/>
            <c:size val="5"/>
            <c:spPr>
              <a:solidFill>
                <a:srgbClr val="000080"/>
              </a:solidFill>
              <a:ln>
                <a:solidFill>
                  <a:srgbClr val="000080"/>
                </a:solidFill>
                <a:prstDash val="solid"/>
              </a:ln>
            </c:spPr>
          </c:marker>
          <c:errBars>
            <c:errDir val="y"/>
            <c:errBarType val="both"/>
            <c:errValType val="cust"/>
            <c:noEndCap val="0"/>
            <c:plus>
              <c:numRef>
                <c:f>'8E. GR&amp;R Graphical'!$R$216:$AA$216</c:f>
                <c:numCache>
                  <c:formatCode>General</c:formatCode>
                  <c:ptCount val="10"/>
                  <c:pt idx="0">
                    <c:v>0</c:v>
                  </c:pt>
                  <c:pt idx="1">
                    <c:v>0</c:v>
                  </c:pt>
                  <c:pt idx="2">
                    <c:v>0</c:v>
                  </c:pt>
                  <c:pt idx="3">
                    <c:v>0</c:v>
                  </c:pt>
                  <c:pt idx="4">
                    <c:v>0</c:v>
                  </c:pt>
                  <c:pt idx="5">
                    <c:v>0</c:v>
                  </c:pt>
                  <c:pt idx="6">
                    <c:v>0</c:v>
                  </c:pt>
                  <c:pt idx="7">
                    <c:v>0</c:v>
                  </c:pt>
                  <c:pt idx="8">
                    <c:v>0</c:v>
                  </c:pt>
                  <c:pt idx="9">
                    <c:v>0</c:v>
                  </c:pt>
                </c:numCache>
              </c:numRef>
            </c:plus>
            <c:minus>
              <c:numRef>
                <c:f>'8E. GR&amp;R Graphical'!$R$218:$AA$218</c:f>
                <c:numCache>
                  <c:formatCode>General</c:formatCode>
                  <c:ptCount val="10"/>
                  <c:pt idx="0">
                    <c:v>0</c:v>
                  </c:pt>
                  <c:pt idx="1">
                    <c:v>0</c:v>
                  </c:pt>
                  <c:pt idx="2">
                    <c:v>0</c:v>
                  </c:pt>
                  <c:pt idx="3">
                    <c:v>0</c:v>
                  </c:pt>
                  <c:pt idx="4">
                    <c:v>0</c:v>
                  </c:pt>
                  <c:pt idx="5">
                    <c:v>0</c:v>
                  </c:pt>
                  <c:pt idx="6">
                    <c:v>0</c:v>
                  </c:pt>
                  <c:pt idx="7">
                    <c:v>0</c:v>
                  </c:pt>
                  <c:pt idx="8">
                    <c:v>0</c:v>
                  </c:pt>
                  <c:pt idx="9">
                    <c:v>0</c:v>
                  </c:pt>
                </c:numCache>
              </c:numRef>
            </c:minus>
            <c:spPr>
              <a:ln w="12700">
                <a:solidFill>
                  <a:srgbClr val="000000"/>
                </a:solidFill>
                <a:prstDash val="solid"/>
              </a:ln>
            </c:spPr>
          </c:errBars>
          <c:xVal>
            <c:numRef>
              <c:f>'8E. GR&amp;R Graphical'!$R$214:$AA$214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'8E. GR&amp;R Graphical'!$C$18:$L$18</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0-837A-47E8-852C-EAFAEA104907}"/>
            </c:ext>
          </c:extLst>
        </c:ser>
        <c:dLbls>
          <c:showLegendKey val="0"/>
          <c:showVal val="0"/>
          <c:showCatName val="0"/>
          <c:showSerName val="0"/>
          <c:showPercent val="0"/>
          <c:showBubbleSize val="0"/>
        </c:dLbls>
        <c:axId val="818339848"/>
        <c:axId val="1"/>
      </c:scatterChart>
      <c:valAx>
        <c:axId val="818339848"/>
        <c:scaling>
          <c:orientation val="minMax"/>
          <c:max val="10"/>
          <c:min val="1"/>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1"/>
        <c:crosses val="autoZero"/>
        <c:crossBetween val="midCat"/>
        <c:majorUnit val="1"/>
        <c:minorUnit val="1"/>
      </c:valAx>
      <c:valAx>
        <c:axId val="1"/>
        <c:scaling>
          <c:orientation val="minMax"/>
        </c:scaling>
        <c:delete val="0"/>
        <c:axPos val="l"/>
        <c:majorGridlines>
          <c:spPr>
            <a:ln w="3175">
              <a:solidFill>
                <a:srgbClr val="FFFFFF"/>
              </a:solidFill>
              <a:prstDash val="solid"/>
            </a:ln>
          </c:spPr>
        </c:majorGridlines>
        <c:numFmt formatCode="0.0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818339848"/>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3" Type="http://schemas.openxmlformats.org/officeDocument/2006/relationships/chart" Target="../charts/chart4.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19" Type="http://schemas.openxmlformats.org/officeDocument/2006/relationships/chart" Target="../charts/chart20.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17</xdr:row>
          <xdr:rowOff>142875</xdr:rowOff>
        </xdr:from>
        <xdr:to>
          <xdr:col>1</xdr:col>
          <xdr:colOff>333375</xdr:colOff>
          <xdr:row>19</xdr:row>
          <xdr:rowOff>28575</xdr:rowOff>
        </xdr:to>
        <xdr:sp macro="" textlink="">
          <xdr:nvSpPr>
            <xdr:cNvPr id="3123201" name="Check Box 1" hidden="1">
              <a:extLst>
                <a:ext uri="{63B3BB69-23CF-44E3-9099-C40C66FF867C}">
                  <a14:compatExt spid="_x0000_s3123201"/>
                </a:ext>
                <a:ext uri="{FF2B5EF4-FFF2-40B4-BE49-F238E27FC236}">
                  <a16:creationId xmlns:a16="http://schemas.microsoft.com/office/drawing/2014/main" id="{00000000-0008-0000-0100-000001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133350</xdr:rowOff>
        </xdr:from>
        <xdr:to>
          <xdr:col>1</xdr:col>
          <xdr:colOff>333375</xdr:colOff>
          <xdr:row>20</xdr:row>
          <xdr:rowOff>19050</xdr:rowOff>
        </xdr:to>
        <xdr:sp macro="" textlink="">
          <xdr:nvSpPr>
            <xdr:cNvPr id="3123202" name="Check Box 2" hidden="1">
              <a:extLst>
                <a:ext uri="{63B3BB69-23CF-44E3-9099-C40C66FF867C}">
                  <a14:compatExt spid="_x0000_s3123202"/>
                </a:ext>
                <a:ext uri="{FF2B5EF4-FFF2-40B4-BE49-F238E27FC236}">
                  <a16:creationId xmlns:a16="http://schemas.microsoft.com/office/drawing/2014/main" id="{00000000-0008-0000-0100-000002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133350</xdr:rowOff>
        </xdr:from>
        <xdr:to>
          <xdr:col>1</xdr:col>
          <xdr:colOff>333375</xdr:colOff>
          <xdr:row>21</xdr:row>
          <xdr:rowOff>19050</xdr:rowOff>
        </xdr:to>
        <xdr:sp macro="" textlink="">
          <xdr:nvSpPr>
            <xdr:cNvPr id="3123203" name="Check Box 3" hidden="1">
              <a:extLst>
                <a:ext uri="{63B3BB69-23CF-44E3-9099-C40C66FF867C}">
                  <a14:compatExt spid="_x0000_s3123203"/>
                </a:ext>
                <a:ext uri="{FF2B5EF4-FFF2-40B4-BE49-F238E27FC236}">
                  <a16:creationId xmlns:a16="http://schemas.microsoft.com/office/drawing/2014/main" id="{00000000-0008-0000-0100-000003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133350</xdr:rowOff>
        </xdr:from>
        <xdr:to>
          <xdr:col>1</xdr:col>
          <xdr:colOff>333375</xdr:colOff>
          <xdr:row>22</xdr:row>
          <xdr:rowOff>19050</xdr:rowOff>
        </xdr:to>
        <xdr:sp macro="" textlink="">
          <xdr:nvSpPr>
            <xdr:cNvPr id="3123204" name="Check Box 4" hidden="1">
              <a:extLst>
                <a:ext uri="{63B3BB69-23CF-44E3-9099-C40C66FF867C}">
                  <a14:compatExt spid="_x0000_s3123204"/>
                </a:ext>
                <a:ext uri="{FF2B5EF4-FFF2-40B4-BE49-F238E27FC236}">
                  <a16:creationId xmlns:a16="http://schemas.microsoft.com/office/drawing/2014/main" id="{00000000-0008-0000-0100-000004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142875</xdr:rowOff>
        </xdr:from>
        <xdr:to>
          <xdr:col>1</xdr:col>
          <xdr:colOff>333375</xdr:colOff>
          <xdr:row>23</xdr:row>
          <xdr:rowOff>28575</xdr:rowOff>
        </xdr:to>
        <xdr:sp macro="" textlink="">
          <xdr:nvSpPr>
            <xdr:cNvPr id="3123205" name="Check Box 5" hidden="1">
              <a:extLst>
                <a:ext uri="{63B3BB69-23CF-44E3-9099-C40C66FF867C}">
                  <a14:compatExt spid="_x0000_s3123205"/>
                </a:ext>
                <a:ext uri="{FF2B5EF4-FFF2-40B4-BE49-F238E27FC236}">
                  <a16:creationId xmlns:a16="http://schemas.microsoft.com/office/drawing/2014/main" id="{00000000-0008-0000-0100-000005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133350</xdr:rowOff>
        </xdr:from>
        <xdr:to>
          <xdr:col>10</xdr:col>
          <xdr:colOff>333375</xdr:colOff>
          <xdr:row>21</xdr:row>
          <xdr:rowOff>19050</xdr:rowOff>
        </xdr:to>
        <xdr:sp macro="" textlink="">
          <xdr:nvSpPr>
            <xdr:cNvPr id="3123206" name="Check Box 6" hidden="1">
              <a:extLst>
                <a:ext uri="{63B3BB69-23CF-44E3-9099-C40C66FF867C}">
                  <a14:compatExt spid="_x0000_s3123206"/>
                </a:ext>
                <a:ext uri="{FF2B5EF4-FFF2-40B4-BE49-F238E27FC236}">
                  <a16:creationId xmlns:a16="http://schemas.microsoft.com/office/drawing/2014/main" id="{00000000-0008-0000-0100-000006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133350</xdr:rowOff>
        </xdr:from>
        <xdr:to>
          <xdr:col>10</xdr:col>
          <xdr:colOff>333375</xdr:colOff>
          <xdr:row>20</xdr:row>
          <xdr:rowOff>19050</xdr:rowOff>
        </xdr:to>
        <xdr:sp macro="" textlink="">
          <xdr:nvSpPr>
            <xdr:cNvPr id="3123207" name="Check Box 7" hidden="1">
              <a:extLst>
                <a:ext uri="{63B3BB69-23CF-44E3-9099-C40C66FF867C}">
                  <a14:compatExt spid="_x0000_s3123207"/>
                </a:ext>
                <a:ext uri="{FF2B5EF4-FFF2-40B4-BE49-F238E27FC236}">
                  <a16:creationId xmlns:a16="http://schemas.microsoft.com/office/drawing/2014/main" id="{00000000-0008-0000-0100-000007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133350</xdr:rowOff>
        </xdr:from>
        <xdr:to>
          <xdr:col>10</xdr:col>
          <xdr:colOff>333375</xdr:colOff>
          <xdr:row>19</xdr:row>
          <xdr:rowOff>19050</xdr:rowOff>
        </xdr:to>
        <xdr:sp macro="" textlink="">
          <xdr:nvSpPr>
            <xdr:cNvPr id="3123208" name="Check Box 8" hidden="1">
              <a:extLst>
                <a:ext uri="{63B3BB69-23CF-44E3-9099-C40C66FF867C}">
                  <a14:compatExt spid="_x0000_s3123208"/>
                </a:ext>
                <a:ext uri="{FF2B5EF4-FFF2-40B4-BE49-F238E27FC236}">
                  <a16:creationId xmlns:a16="http://schemas.microsoft.com/office/drawing/2014/main" id="{00000000-0008-0000-0100-000008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133350</xdr:rowOff>
        </xdr:from>
        <xdr:to>
          <xdr:col>1</xdr:col>
          <xdr:colOff>342900</xdr:colOff>
          <xdr:row>32</xdr:row>
          <xdr:rowOff>19050</xdr:rowOff>
        </xdr:to>
        <xdr:sp macro="" textlink="">
          <xdr:nvSpPr>
            <xdr:cNvPr id="3123209" name="Check Box 9" hidden="1">
              <a:extLst>
                <a:ext uri="{63B3BB69-23CF-44E3-9099-C40C66FF867C}">
                  <a14:compatExt spid="_x0000_s3123209"/>
                </a:ext>
                <a:ext uri="{FF2B5EF4-FFF2-40B4-BE49-F238E27FC236}">
                  <a16:creationId xmlns:a16="http://schemas.microsoft.com/office/drawing/2014/main" id="{00000000-0008-0000-0100-000009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xdr:row>
          <xdr:rowOff>142875</xdr:rowOff>
        </xdr:from>
        <xdr:to>
          <xdr:col>1</xdr:col>
          <xdr:colOff>342900</xdr:colOff>
          <xdr:row>29</xdr:row>
          <xdr:rowOff>28575</xdr:rowOff>
        </xdr:to>
        <xdr:sp macro="" textlink="">
          <xdr:nvSpPr>
            <xdr:cNvPr id="3123210" name="Check Box 10" hidden="1">
              <a:extLst>
                <a:ext uri="{63B3BB69-23CF-44E3-9099-C40C66FF867C}">
                  <a14:compatExt spid="_x0000_s3123210"/>
                </a:ext>
                <a:ext uri="{FF2B5EF4-FFF2-40B4-BE49-F238E27FC236}">
                  <a16:creationId xmlns:a16="http://schemas.microsoft.com/office/drawing/2014/main" id="{00000000-0008-0000-0100-00000A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133350</xdr:rowOff>
        </xdr:from>
        <xdr:to>
          <xdr:col>1</xdr:col>
          <xdr:colOff>342900</xdr:colOff>
          <xdr:row>28</xdr:row>
          <xdr:rowOff>19050</xdr:rowOff>
        </xdr:to>
        <xdr:sp macro="" textlink="">
          <xdr:nvSpPr>
            <xdr:cNvPr id="3123211" name="Check Box 11" hidden="1">
              <a:extLst>
                <a:ext uri="{63B3BB69-23CF-44E3-9099-C40C66FF867C}">
                  <a14:compatExt spid="_x0000_s3123211"/>
                </a:ext>
                <a:ext uri="{FF2B5EF4-FFF2-40B4-BE49-F238E27FC236}">
                  <a16:creationId xmlns:a16="http://schemas.microsoft.com/office/drawing/2014/main" id="{00000000-0008-0000-0100-00000B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133350</xdr:rowOff>
        </xdr:from>
        <xdr:to>
          <xdr:col>1</xdr:col>
          <xdr:colOff>342900</xdr:colOff>
          <xdr:row>27</xdr:row>
          <xdr:rowOff>19050</xdr:rowOff>
        </xdr:to>
        <xdr:sp macro="" textlink="">
          <xdr:nvSpPr>
            <xdr:cNvPr id="3123212" name="Check Box 12" hidden="1">
              <a:extLst>
                <a:ext uri="{63B3BB69-23CF-44E3-9099-C40C66FF867C}">
                  <a14:compatExt spid="_x0000_s3123212"/>
                </a:ext>
                <a:ext uri="{FF2B5EF4-FFF2-40B4-BE49-F238E27FC236}">
                  <a16:creationId xmlns:a16="http://schemas.microsoft.com/office/drawing/2014/main" id="{00000000-0008-0000-0100-00000C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123825</xdr:rowOff>
        </xdr:from>
        <xdr:to>
          <xdr:col>1</xdr:col>
          <xdr:colOff>342900</xdr:colOff>
          <xdr:row>26</xdr:row>
          <xdr:rowOff>9525</xdr:rowOff>
        </xdr:to>
        <xdr:sp macro="" textlink="">
          <xdr:nvSpPr>
            <xdr:cNvPr id="3123213" name="Check Box 13" hidden="1">
              <a:extLst>
                <a:ext uri="{63B3BB69-23CF-44E3-9099-C40C66FF867C}">
                  <a14:compatExt spid="_x0000_s3123213"/>
                </a:ext>
                <a:ext uri="{FF2B5EF4-FFF2-40B4-BE49-F238E27FC236}">
                  <a16:creationId xmlns:a16="http://schemas.microsoft.com/office/drawing/2014/main" id="{00000000-0008-0000-0100-00000D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133350</xdr:rowOff>
        </xdr:from>
        <xdr:to>
          <xdr:col>10</xdr:col>
          <xdr:colOff>333375</xdr:colOff>
          <xdr:row>22</xdr:row>
          <xdr:rowOff>19050</xdr:rowOff>
        </xdr:to>
        <xdr:sp macro="" textlink="">
          <xdr:nvSpPr>
            <xdr:cNvPr id="3123217" name="Check Box 17" hidden="1">
              <a:extLst>
                <a:ext uri="{63B3BB69-23CF-44E3-9099-C40C66FF867C}">
                  <a14:compatExt spid="_x0000_s3123217"/>
                </a:ext>
                <a:ext uri="{FF2B5EF4-FFF2-40B4-BE49-F238E27FC236}">
                  <a16:creationId xmlns:a16="http://schemas.microsoft.com/office/drawing/2014/main" id="{00000000-0008-0000-0100-000011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133350</xdr:rowOff>
        </xdr:from>
        <xdr:to>
          <xdr:col>10</xdr:col>
          <xdr:colOff>333375</xdr:colOff>
          <xdr:row>23</xdr:row>
          <xdr:rowOff>19050</xdr:rowOff>
        </xdr:to>
        <xdr:sp macro="" textlink="">
          <xdr:nvSpPr>
            <xdr:cNvPr id="3123222" name="Check Box 22" hidden="1">
              <a:extLst>
                <a:ext uri="{63B3BB69-23CF-44E3-9099-C40C66FF867C}">
                  <a14:compatExt spid="_x0000_s3123222"/>
                </a:ext>
                <a:ext uri="{FF2B5EF4-FFF2-40B4-BE49-F238E27FC236}">
                  <a16:creationId xmlns:a16="http://schemas.microsoft.com/office/drawing/2014/main" id="{00000000-0008-0000-0100-000016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29</xdr:row>
          <xdr:rowOff>133350</xdr:rowOff>
        </xdr:from>
        <xdr:to>
          <xdr:col>4</xdr:col>
          <xdr:colOff>152400</xdr:colOff>
          <xdr:row>31</xdr:row>
          <xdr:rowOff>28575</xdr:rowOff>
        </xdr:to>
        <xdr:sp macro="" textlink="">
          <xdr:nvSpPr>
            <xdr:cNvPr id="3123223" name="Check Box 23" hidden="1">
              <a:extLst>
                <a:ext uri="{63B3BB69-23CF-44E3-9099-C40C66FF867C}">
                  <a14:compatExt spid="_x0000_s3123223"/>
                </a:ext>
                <a:ext uri="{FF2B5EF4-FFF2-40B4-BE49-F238E27FC236}">
                  <a16:creationId xmlns:a16="http://schemas.microsoft.com/office/drawing/2014/main" id="{00000000-0008-0000-0100-000017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206375</xdr:colOff>
      <xdr:row>29</xdr:row>
      <xdr:rowOff>19050</xdr:rowOff>
    </xdr:from>
    <xdr:to>
      <xdr:col>4</xdr:col>
      <xdr:colOff>92075</xdr:colOff>
      <xdr:row>30</xdr:row>
      <xdr:rowOff>3307</xdr:rowOff>
    </xdr:to>
    <xdr:sp macro="" textlink="">
      <xdr:nvSpPr>
        <xdr:cNvPr id="2" name="Rectangle 55">
          <a:extLst>
            <a:ext uri="{FF2B5EF4-FFF2-40B4-BE49-F238E27FC236}">
              <a16:creationId xmlns:a16="http://schemas.microsoft.com/office/drawing/2014/main" id="{F5A7FA51-620D-41D0-A14B-B01FE51BD3C5}"/>
            </a:ext>
          </a:extLst>
        </xdr:cNvPr>
        <xdr:cNvSpPr>
          <a:spLocks noChangeArrowheads="1"/>
        </xdr:cNvSpPr>
      </xdr:nvSpPr>
      <xdr:spPr bwMode="auto">
        <a:xfrm>
          <a:off x="1101725" y="5743575"/>
          <a:ext cx="276225"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a:t>
          </a: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29</xdr:row>
          <xdr:rowOff>133350</xdr:rowOff>
        </xdr:from>
        <xdr:to>
          <xdr:col>5</xdr:col>
          <xdr:colOff>0</xdr:colOff>
          <xdr:row>31</xdr:row>
          <xdr:rowOff>28575</xdr:rowOff>
        </xdr:to>
        <xdr:sp macro="" textlink="">
          <xdr:nvSpPr>
            <xdr:cNvPr id="3123224" name="Check Box 24" hidden="1">
              <a:extLst>
                <a:ext uri="{63B3BB69-23CF-44E3-9099-C40C66FF867C}">
                  <a14:compatExt spid="_x0000_s3123224"/>
                </a:ext>
                <a:ext uri="{FF2B5EF4-FFF2-40B4-BE49-F238E27FC236}">
                  <a16:creationId xmlns:a16="http://schemas.microsoft.com/office/drawing/2014/main" id="{00000000-0008-0000-0100-000018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57150</xdr:colOff>
      <xdr:row>29</xdr:row>
      <xdr:rowOff>19050</xdr:rowOff>
    </xdr:from>
    <xdr:to>
      <xdr:col>4</xdr:col>
      <xdr:colOff>313871</xdr:colOff>
      <xdr:row>30</xdr:row>
      <xdr:rowOff>3307</xdr:rowOff>
    </xdr:to>
    <xdr:sp macro="" textlink="">
      <xdr:nvSpPr>
        <xdr:cNvPr id="3" name="Rectangle 60">
          <a:extLst>
            <a:ext uri="{FF2B5EF4-FFF2-40B4-BE49-F238E27FC236}">
              <a16:creationId xmlns:a16="http://schemas.microsoft.com/office/drawing/2014/main" id="{22F21B7A-D542-4BCC-9B74-094D17283AAF}"/>
            </a:ext>
          </a:extLst>
        </xdr:cNvPr>
        <xdr:cNvSpPr>
          <a:spLocks noChangeArrowheads="1"/>
        </xdr:cNvSpPr>
      </xdr:nvSpPr>
      <xdr:spPr bwMode="auto">
        <a:xfrm>
          <a:off x="1343025" y="5743575"/>
          <a:ext cx="256721"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2</a:t>
          </a:r>
        </a:p>
      </xdr:txBody>
    </xdr:sp>
    <xdr:clientData/>
  </xdr:twoCellAnchor>
  <mc:AlternateContent xmlns:mc="http://schemas.openxmlformats.org/markup-compatibility/2006">
    <mc:Choice xmlns:a14="http://schemas.microsoft.com/office/drawing/2010/main" Requires="a14">
      <xdr:twoCellAnchor editAs="oneCell">
        <xdr:from>
          <xdr:col>4</xdr:col>
          <xdr:colOff>285750</xdr:colOff>
          <xdr:row>29</xdr:row>
          <xdr:rowOff>133350</xdr:rowOff>
        </xdr:from>
        <xdr:to>
          <xdr:col>5</xdr:col>
          <xdr:colOff>219075</xdr:colOff>
          <xdr:row>31</xdr:row>
          <xdr:rowOff>28575</xdr:rowOff>
        </xdr:to>
        <xdr:sp macro="" textlink="">
          <xdr:nvSpPr>
            <xdr:cNvPr id="3123225" name="Check Box 25" hidden="1">
              <a:extLst>
                <a:ext uri="{63B3BB69-23CF-44E3-9099-C40C66FF867C}">
                  <a14:compatExt spid="_x0000_s3123225"/>
                </a:ext>
                <a:ext uri="{FF2B5EF4-FFF2-40B4-BE49-F238E27FC236}">
                  <a16:creationId xmlns:a16="http://schemas.microsoft.com/office/drawing/2014/main" id="{00000000-0008-0000-0100-000019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256540</xdr:colOff>
      <xdr:row>29</xdr:row>
      <xdr:rowOff>19050</xdr:rowOff>
    </xdr:from>
    <xdr:to>
      <xdr:col>5</xdr:col>
      <xdr:colOff>145537</xdr:colOff>
      <xdr:row>30</xdr:row>
      <xdr:rowOff>3307</xdr:rowOff>
    </xdr:to>
    <xdr:sp macro="" textlink="">
      <xdr:nvSpPr>
        <xdr:cNvPr id="4" name="Rectangle 62">
          <a:extLst>
            <a:ext uri="{FF2B5EF4-FFF2-40B4-BE49-F238E27FC236}">
              <a16:creationId xmlns:a16="http://schemas.microsoft.com/office/drawing/2014/main" id="{D28473EB-1098-4547-BC8C-07AA160DC9C7}"/>
            </a:ext>
          </a:extLst>
        </xdr:cNvPr>
        <xdr:cNvSpPr>
          <a:spLocks noChangeArrowheads="1"/>
        </xdr:cNvSpPr>
      </xdr:nvSpPr>
      <xdr:spPr bwMode="auto">
        <a:xfrm>
          <a:off x="1542415" y="5743575"/>
          <a:ext cx="279522"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3</a:t>
          </a:r>
        </a:p>
      </xdr:txBody>
    </xdr:sp>
    <xdr:clientData/>
  </xdr:twoCellAnchor>
  <mc:AlternateContent xmlns:mc="http://schemas.openxmlformats.org/markup-compatibility/2006">
    <mc:Choice xmlns:a14="http://schemas.microsoft.com/office/drawing/2010/main" Requires="a14">
      <xdr:twoCellAnchor editAs="oneCell">
        <xdr:from>
          <xdr:col>5</xdr:col>
          <xdr:colOff>133350</xdr:colOff>
          <xdr:row>29</xdr:row>
          <xdr:rowOff>133350</xdr:rowOff>
        </xdr:from>
        <xdr:to>
          <xdr:col>6</xdr:col>
          <xdr:colOff>66675</xdr:colOff>
          <xdr:row>31</xdr:row>
          <xdr:rowOff>28575</xdr:rowOff>
        </xdr:to>
        <xdr:sp macro="" textlink="">
          <xdr:nvSpPr>
            <xdr:cNvPr id="3123226" name="Check Box 26" hidden="1">
              <a:extLst>
                <a:ext uri="{63B3BB69-23CF-44E3-9099-C40C66FF867C}">
                  <a14:compatExt spid="_x0000_s3123226"/>
                </a:ext>
                <a:ext uri="{FF2B5EF4-FFF2-40B4-BE49-F238E27FC236}">
                  <a16:creationId xmlns:a16="http://schemas.microsoft.com/office/drawing/2014/main" id="{00000000-0008-0000-0100-00001A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130175</xdr:colOff>
      <xdr:row>29</xdr:row>
      <xdr:rowOff>19050</xdr:rowOff>
    </xdr:from>
    <xdr:to>
      <xdr:col>6</xdr:col>
      <xdr:colOff>19172</xdr:colOff>
      <xdr:row>30</xdr:row>
      <xdr:rowOff>3307</xdr:rowOff>
    </xdr:to>
    <xdr:sp macro="" textlink="">
      <xdr:nvSpPr>
        <xdr:cNvPr id="5" name="Rectangle 64">
          <a:extLst>
            <a:ext uri="{FF2B5EF4-FFF2-40B4-BE49-F238E27FC236}">
              <a16:creationId xmlns:a16="http://schemas.microsoft.com/office/drawing/2014/main" id="{31E79A11-80B6-4418-887E-E45CD225E576}"/>
            </a:ext>
          </a:extLst>
        </xdr:cNvPr>
        <xdr:cNvSpPr>
          <a:spLocks noChangeArrowheads="1"/>
        </xdr:cNvSpPr>
      </xdr:nvSpPr>
      <xdr:spPr bwMode="auto">
        <a:xfrm>
          <a:off x="1806575" y="5743575"/>
          <a:ext cx="279522"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4</a:t>
          </a:r>
        </a:p>
      </xdr:txBody>
    </xdr:sp>
    <xdr:clientData/>
  </xdr:twoCellAnchor>
  <mc:AlternateContent xmlns:mc="http://schemas.openxmlformats.org/markup-compatibility/2006">
    <mc:Choice xmlns:a14="http://schemas.microsoft.com/office/drawing/2010/main" Requires="a14">
      <xdr:twoCellAnchor editAs="oneCell">
        <xdr:from>
          <xdr:col>5</xdr:col>
          <xdr:colOff>333375</xdr:colOff>
          <xdr:row>29</xdr:row>
          <xdr:rowOff>133350</xdr:rowOff>
        </xdr:from>
        <xdr:to>
          <xdr:col>6</xdr:col>
          <xdr:colOff>266700</xdr:colOff>
          <xdr:row>31</xdr:row>
          <xdr:rowOff>28575</xdr:rowOff>
        </xdr:to>
        <xdr:sp macro="" textlink="">
          <xdr:nvSpPr>
            <xdr:cNvPr id="3123227" name="Check Box 27" hidden="1">
              <a:extLst>
                <a:ext uri="{63B3BB69-23CF-44E3-9099-C40C66FF867C}">
                  <a14:compatExt spid="_x0000_s3123227"/>
                </a:ext>
                <a:ext uri="{FF2B5EF4-FFF2-40B4-BE49-F238E27FC236}">
                  <a16:creationId xmlns:a16="http://schemas.microsoft.com/office/drawing/2014/main" id="{00000000-0008-0000-0100-00001B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332740</xdr:colOff>
      <xdr:row>29</xdr:row>
      <xdr:rowOff>19050</xdr:rowOff>
    </xdr:from>
    <xdr:to>
      <xdr:col>6</xdr:col>
      <xdr:colOff>215971</xdr:colOff>
      <xdr:row>30</xdr:row>
      <xdr:rowOff>3307</xdr:rowOff>
    </xdr:to>
    <xdr:sp macro="" textlink="">
      <xdr:nvSpPr>
        <xdr:cNvPr id="6" name="Rectangle 66">
          <a:extLst>
            <a:ext uri="{FF2B5EF4-FFF2-40B4-BE49-F238E27FC236}">
              <a16:creationId xmlns:a16="http://schemas.microsoft.com/office/drawing/2014/main" id="{C38333C5-5516-46AB-9AA0-52862D88762E}"/>
            </a:ext>
          </a:extLst>
        </xdr:cNvPr>
        <xdr:cNvSpPr>
          <a:spLocks noChangeArrowheads="1"/>
        </xdr:cNvSpPr>
      </xdr:nvSpPr>
      <xdr:spPr bwMode="auto">
        <a:xfrm>
          <a:off x="2009140" y="5743575"/>
          <a:ext cx="273756"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5</a:t>
          </a:r>
        </a:p>
      </xdr:txBody>
    </xdr:sp>
    <xdr:clientData/>
  </xdr:twoCellAnchor>
  <mc:AlternateContent xmlns:mc="http://schemas.openxmlformats.org/markup-compatibility/2006">
    <mc:Choice xmlns:a14="http://schemas.microsoft.com/office/drawing/2010/main" Requires="a14">
      <xdr:twoCellAnchor editAs="oneCell">
        <xdr:from>
          <xdr:col>6</xdr:col>
          <xdr:colOff>161925</xdr:colOff>
          <xdr:row>29</xdr:row>
          <xdr:rowOff>133350</xdr:rowOff>
        </xdr:from>
        <xdr:to>
          <xdr:col>7</xdr:col>
          <xdr:colOff>95250</xdr:colOff>
          <xdr:row>31</xdr:row>
          <xdr:rowOff>28575</xdr:rowOff>
        </xdr:to>
        <xdr:sp macro="" textlink="">
          <xdr:nvSpPr>
            <xdr:cNvPr id="3123228" name="Check Box 28" hidden="1">
              <a:extLst>
                <a:ext uri="{63B3BB69-23CF-44E3-9099-C40C66FF867C}">
                  <a14:compatExt spid="_x0000_s3123228"/>
                </a:ext>
                <a:ext uri="{FF2B5EF4-FFF2-40B4-BE49-F238E27FC236}">
                  <a16:creationId xmlns:a16="http://schemas.microsoft.com/office/drawing/2014/main" id="{00000000-0008-0000-0100-00001C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145415</xdr:colOff>
      <xdr:row>29</xdr:row>
      <xdr:rowOff>19050</xdr:rowOff>
    </xdr:from>
    <xdr:to>
      <xdr:col>7</xdr:col>
      <xdr:colOff>38080</xdr:colOff>
      <xdr:row>30</xdr:row>
      <xdr:rowOff>3307</xdr:rowOff>
    </xdr:to>
    <xdr:sp macro="" textlink="">
      <xdr:nvSpPr>
        <xdr:cNvPr id="7" name="Rectangle 68">
          <a:extLst>
            <a:ext uri="{FF2B5EF4-FFF2-40B4-BE49-F238E27FC236}">
              <a16:creationId xmlns:a16="http://schemas.microsoft.com/office/drawing/2014/main" id="{903D60CA-07FD-4444-834B-58B86125E032}"/>
            </a:ext>
          </a:extLst>
        </xdr:cNvPr>
        <xdr:cNvSpPr>
          <a:spLocks noChangeArrowheads="1"/>
        </xdr:cNvSpPr>
      </xdr:nvSpPr>
      <xdr:spPr bwMode="auto">
        <a:xfrm>
          <a:off x="2212340" y="5743575"/>
          <a:ext cx="283190"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6</a:t>
          </a:r>
        </a:p>
      </xdr:txBody>
    </xdr:sp>
    <xdr:clientData/>
  </xdr:twoCellAnchor>
  <mc:AlternateContent xmlns:mc="http://schemas.openxmlformats.org/markup-compatibility/2006">
    <mc:Choice xmlns:a14="http://schemas.microsoft.com/office/drawing/2010/main" Requires="a14">
      <xdr:twoCellAnchor editAs="oneCell">
        <xdr:from>
          <xdr:col>6</xdr:col>
          <xdr:colOff>361950</xdr:colOff>
          <xdr:row>29</xdr:row>
          <xdr:rowOff>133350</xdr:rowOff>
        </xdr:from>
        <xdr:to>
          <xdr:col>7</xdr:col>
          <xdr:colOff>295275</xdr:colOff>
          <xdr:row>31</xdr:row>
          <xdr:rowOff>28575</xdr:rowOff>
        </xdr:to>
        <xdr:sp macro="" textlink="">
          <xdr:nvSpPr>
            <xdr:cNvPr id="3123229" name="Check Box 29" hidden="1">
              <a:extLst>
                <a:ext uri="{63B3BB69-23CF-44E3-9099-C40C66FF867C}">
                  <a14:compatExt spid="_x0000_s3123229"/>
                </a:ext>
                <a:ext uri="{FF2B5EF4-FFF2-40B4-BE49-F238E27FC236}">
                  <a16:creationId xmlns:a16="http://schemas.microsoft.com/office/drawing/2014/main" id="{00000000-0008-0000-0100-00001D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351790</xdr:colOff>
      <xdr:row>29</xdr:row>
      <xdr:rowOff>19050</xdr:rowOff>
    </xdr:from>
    <xdr:to>
      <xdr:col>7</xdr:col>
      <xdr:colOff>250764</xdr:colOff>
      <xdr:row>30</xdr:row>
      <xdr:rowOff>3307</xdr:rowOff>
    </xdr:to>
    <xdr:sp macro="" textlink="">
      <xdr:nvSpPr>
        <xdr:cNvPr id="8" name="Rectangle 70">
          <a:extLst>
            <a:ext uri="{FF2B5EF4-FFF2-40B4-BE49-F238E27FC236}">
              <a16:creationId xmlns:a16="http://schemas.microsoft.com/office/drawing/2014/main" id="{A80853AD-B2D6-4C07-9B9B-25381894390C}"/>
            </a:ext>
          </a:extLst>
        </xdr:cNvPr>
        <xdr:cNvSpPr>
          <a:spLocks noChangeArrowheads="1"/>
        </xdr:cNvSpPr>
      </xdr:nvSpPr>
      <xdr:spPr bwMode="auto">
        <a:xfrm>
          <a:off x="2418715" y="5743575"/>
          <a:ext cx="289499"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7</a:t>
          </a:r>
        </a:p>
      </xdr:txBody>
    </xdr:sp>
    <xdr:clientData/>
  </xdr:twoCellAnchor>
  <mc:AlternateContent xmlns:mc="http://schemas.openxmlformats.org/markup-compatibility/2006">
    <mc:Choice xmlns:a14="http://schemas.microsoft.com/office/drawing/2010/main" Requires="a14">
      <xdr:twoCellAnchor editAs="oneCell">
        <xdr:from>
          <xdr:col>7</xdr:col>
          <xdr:colOff>190500</xdr:colOff>
          <xdr:row>29</xdr:row>
          <xdr:rowOff>133350</xdr:rowOff>
        </xdr:from>
        <xdr:to>
          <xdr:col>8</xdr:col>
          <xdr:colOff>123825</xdr:colOff>
          <xdr:row>31</xdr:row>
          <xdr:rowOff>28575</xdr:rowOff>
        </xdr:to>
        <xdr:sp macro="" textlink="">
          <xdr:nvSpPr>
            <xdr:cNvPr id="3123230" name="Check Box 30" hidden="1">
              <a:extLst>
                <a:ext uri="{63B3BB69-23CF-44E3-9099-C40C66FF867C}">
                  <a14:compatExt spid="_x0000_s3123230"/>
                </a:ext>
                <a:ext uri="{FF2B5EF4-FFF2-40B4-BE49-F238E27FC236}">
                  <a16:creationId xmlns:a16="http://schemas.microsoft.com/office/drawing/2014/main" id="{00000000-0008-0000-0100-00001E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177800</xdr:colOff>
      <xdr:row>29</xdr:row>
      <xdr:rowOff>19050</xdr:rowOff>
    </xdr:from>
    <xdr:to>
      <xdr:col>8</xdr:col>
      <xdr:colOff>66797</xdr:colOff>
      <xdr:row>30</xdr:row>
      <xdr:rowOff>3307</xdr:rowOff>
    </xdr:to>
    <xdr:sp macro="" textlink="">
      <xdr:nvSpPr>
        <xdr:cNvPr id="9" name="Rectangle 72">
          <a:extLst>
            <a:ext uri="{FF2B5EF4-FFF2-40B4-BE49-F238E27FC236}">
              <a16:creationId xmlns:a16="http://schemas.microsoft.com/office/drawing/2014/main" id="{729A822E-097C-4FDF-90D6-F1508D51F279}"/>
            </a:ext>
          </a:extLst>
        </xdr:cNvPr>
        <xdr:cNvSpPr>
          <a:spLocks noChangeArrowheads="1"/>
        </xdr:cNvSpPr>
      </xdr:nvSpPr>
      <xdr:spPr bwMode="auto">
        <a:xfrm>
          <a:off x="2635250" y="5743575"/>
          <a:ext cx="279522"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8</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29</xdr:row>
          <xdr:rowOff>133350</xdr:rowOff>
        </xdr:from>
        <xdr:to>
          <xdr:col>8</xdr:col>
          <xdr:colOff>314325</xdr:colOff>
          <xdr:row>31</xdr:row>
          <xdr:rowOff>28575</xdr:rowOff>
        </xdr:to>
        <xdr:sp macro="" textlink="">
          <xdr:nvSpPr>
            <xdr:cNvPr id="3123231" name="Check Box 31" hidden="1">
              <a:extLst>
                <a:ext uri="{63B3BB69-23CF-44E3-9099-C40C66FF867C}">
                  <a14:compatExt spid="_x0000_s3123231"/>
                </a:ext>
                <a:ext uri="{FF2B5EF4-FFF2-40B4-BE49-F238E27FC236}">
                  <a16:creationId xmlns:a16="http://schemas.microsoft.com/office/drawing/2014/main" id="{00000000-0008-0000-0100-00001F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xdr:col>
      <xdr:colOff>9525</xdr:colOff>
      <xdr:row>29</xdr:row>
      <xdr:rowOff>19050</xdr:rowOff>
    </xdr:from>
    <xdr:to>
      <xdr:col>8</xdr:col>
      <xdr:colOff>256597</xdr:colOff>
      <xdr:row>30</xdr:row>
      <xdr:rowOff>3307</xdr:rowOff>
    </xdr:to>
    <xdr:sp macro="" textlink="">
      <xdr:nvSpPr>
        <xdr:cNvPr id="10" name="Rectangle 74">
          <a:extLst>
            <a:ext uri="{FF2B5EF4-FFF2-40B4-BE49-F238E27FC236}">
              <a16:creationId xmlns:a16="http://schemas.microsoft.com/office/drawing/2014/main" id="{ACE59492-366F-41DB-BFBE-C545C4F78C35}"/>
            </a:ext>
          </a:extLst>
        </xdr:cNvPr>
        <xdr:cNvSpPr>
          <a:spLocks noChangeArrowheads="1"/>
        </xdr:cNvSpPr>
      </xdr:nvSpPr>
      <xdr:spPr bwMode="auto">
        <a:xfrm>
          <a:off x="2857500" y="5743575"/>
          <a:ext cx="247072"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9</a:t>
          </a:r>
        </a:p>
      </xdr:txBody>
    </xdr:sp>
    <xdr:clientData/>
  </xdr:twoCellAnchor>
  <mc:AlternateContent xmlns:mc="http://schemas.openxmlformats.org/markup-compatibility/2006">
    <mc:Choice xmlns:a14="http://schemas.microsoft.com/office/drawing/2010/main" Requires="a14">
      <xdr:twoCellAnchor editAs="oneCell">
        <xdr:from>
          <xdr:col>8</xdr:col>
          <xdr:colOff>219075</xdr:colOff>
          <xdr:row>29</xdr:row>
          <xdr:rowOff>133350</xdr:rowOff>
        </xdr:from>
        <xdr:to>
          <xdr:col>9</xdr:col>
          <xdr:colOff>152400</xdr:colOff>
          <xdr:row>31</xdr:row>
          <xdr:rowOff>28575</xdr:rowOff>
        </xdr:to>
        <xdr:sp macro="" textlink="">
          <xdr:nvSpPr>
            <xdr:cNvPr id="3123232" name="Check Box 32" hidden="1">
              <a:extLst>
                <a:ext uri="{63B3BB69-23CF-44E3-9099-C40C66FF867C}">
                  <a14:compatExt spid="_x0000_s3123232"/>
                </a:ext>
                <a:ext uri="{FF2B5EF4-FFF2-40B4-BE49-F238E27FC236}">
                  <a16:creationId xmlns:a16="http://schemas.microsoft.com/office/drawing/2014/main" id="{00000000-0008-0000-0100-000020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xdr:col>
      <xdr:colOff>206375</xdr:colOff>
      <xdr:row>29</xdr:row>
      <xdr:rowOff>19050</xdr:rowOff>
    </xdr:from>
    <xdr:to>
      <xdr:col>9</xdr:col>
      <xdr:colOff>92075</xdr:colOff>
      <xdr:row>30</xdr:row>
      <xdr:rowOff>3307</xdr:rowOff>
    </xdr:to>
    <xdr:sp macro="" textlink="">
      <xdr:nvSpPr>
        <xdr:cNvPr id="11" name="Rectangle 76">
          <a:extLst>
            <a:ext uri="{FF2B5EF4-FFF2-40B4-BE49-F238E27FC236}">
              <a16:creationId xmlns:a16="http://schemas.microsoft.com/office/drawing/2014/main" id="{40FF69C7-D577-4F88-BE57-A1816B59D75B}"/>
            </a:ext>
          </a:extLst>
        </xdr:cNvPr>
        <xdr:cNvSpPr>
          <a:spLocks noChangeArrowheads="1"/>
        </xdr:cNvSpPr>
      </xdr:nvSpPr>
      <xdr:spPr bwMode="auto">
        <a:xfrm>
          <a:off x="3054350" y="5743575"/>
          <a:ext cx="276225"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10</a:t>
          </a:r>
        </a:p>
      </xdr:txBody>
    </xdr:sp>
    <xdr:clientData/>
  </xdr:twoCellAnchor>
  <mc:AlternateContent xmlns:mc="http://schemas.openxmlformats.org/markup-compatibility/2006">
    <mc:Choice xmlns:a14="http://schemas.microsoft.com/office/drawing/2010/main" Requires="a14">
      <xdr:twoCellAnchor editAs="oneCell">
        <xdr:from>
          <xdr:col>9</xdr:col>
          <xdr:colOff>47625</xdr:colOff>
          <xdr:row>29</xdr:row>
          <xdr:rowOff>133350</xdr:rowOff>
        </xdr:from>
        <xdr:to>
          <xdr:col>9</xdr:col>
          <xdr:colOff>352425</xdr:colOff>
          <xdr:row>31</xdr:row>
          <xdr:rowOff>28575</xdr:rowOff>
        </xdr:to>
        <xdr:sp macro="" textlink="">
          <xdr:nvSpPr>
            <xdr:cNvPr id="3123233" name="Check Box 33" hidden="1">
              <a:extLst>
                <a:ext uri="{63B3BB69-23CF-44E3-9099-C40C66FF867C}">
                  <a14:compatExt spid="_x0000_s3123233"/>
                </a:ext>
                <a:ext uri="{FF2B5EF4-FFF2-40B4-BE49-F238E27FC236}">
                  <a16:creationId xmlns:a16="http://schemas.microsoft.com/office/drawing/2014/main" id="{00000000-0008-0000-0100-000021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47625</xdr:colOff>
      <xdr:row>29</xdr:row>
      <xdr:rowOff>19050</xdr:rowOff>
    </xdr:from>
    <xdr:to>
      <xdr:col>9</xdr:col>
      <xdr:colOff>294697</xdr:colOff>
      <xdr:row>30</xdr:row>
      <xdr:rowOff>3307</xdr:rowOff>
    </xdr:to>
    <xdr:sp macro="" textlink="">
      <xdr:nvSpPr>
        <xdr:cNvPr id="12" name="Rectangle 78">
          <a:extLst>
            <a:ext uri="{FF2B5EF4-FFF2-40B4-BE49-F238E27FC236}">
              <a16:creationId xmlns:a16="http://schemas.microsoft.com/office/drawing/2014/main" id="{12C6D6CC-1804-41B2-85E0-58461B672CE8}"/>
            </a:ext>
          </a:extLst>
        </xdr:cNvPr>
        <xdr:cNvSpPr>
          <a:spLocks noChangeArrowheads="1"/>
        </xdr:cNvSpPr>
      </xdr:nvSpPr>
      <xdr:spPr bwMode="auto">
        <a:xfrm>
          <a:off x="3286125" y="5743575"/>
          <a:ext cx="247072"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11</a:t>
          </a:r>
        </a:p>
      </xdr:txBody>
    </xdr:sp>
    <xdr:clientData/>
  </xdr:twoCellAnchor>
  <mc:AlternateContent xmlns:mc="http://schemas.openxmlformats.org/markup-compatibility/2006">
    <mc:Choice xmlns:a14="http://schemas.microsoft.com/office/drawing/2010/main" Requires="a14">
      <xdr:twoCellAnchor editAs="oneCell">
        <xdr:from>
          <xdr:col>9</xdr:col>
          <xdr:colOff>247650</xdr:colOff>
          <xdr:row>29</xdr:row>
          <xdr:rowOff>133350</xdr:rowOff>
        </xdr:from>
        <xdr:to>
          <xdr:col>10</xdr:col>
          <xdr:colOff>180975</xdr:colOff>
          <xdr:row>31</xdr:row>
          <xdr:rowOff>28575</xdr:rowOff>
        </xdr:to>
        <xdr:sp macro="" textlink="">
          <xdr:nvSpPr>
            <xdr:cNvPr id="3123234" name="Check Box 34" hidden="1">
              <a:extLst>
                <a:ext uri="{63B3BB69-23CF-44E3-9099-C40C66FF867C}">
                  <a14:compatExt spid="_x0000_s3123234"/>
                </a:ext>
                <a:ext uri="{FF2B5EF4-FFF2-40B4-BE49-F238E27FC236}">
                  <a16:creationId xmlns:a16="http://schemas.microsoft.com/office/drawing/2014/main" id="{00000000-0008-0000-0100-000022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227965</xdr:colOff>
      <xdr:row>29</xdr:row>
      <xdr:rowOff>19050</xdr:rowOff>
    </xdr:from>
    <xdr:to>
      <xdr:col>10</xdr:col>
      <xdr:colOff>111196</xdr:colOff>
      <xdr:row>30</xdr:row>
      <xdr:rowOff>3307</xdr:rowOff>
    </xdr:to>
    <xdr:sp macro="" textlink="">
      <xdr:nvSpPr>
        <xdr:cNvPr id="13" name="Rectangle 80">
          <a:extLst>
            <a:ext uri="{FF2B5EF4-FFF2-40B4-BE49-F238E27FC236}">
              <a16:creationId xmlns:a16="http://schemas.microsoft.com/office/drawing/2014/main" id="{6E5653F8-FE14-4C74-B2BE-19E361D94284}"/>
            </a:ext>
          </a:extLst>
        </xdr:cNvPr>
        <xdr:cNvSpPr>
          <a:spLocks noChangeArrowheads="1"/>
        </xdr:cNvSpPr>
      </xdr:nvSpPr>
      <xdr:spPr bwMode="auto">
        <a:xfrm>
          <a:off x="3466465" y="5743575"/>
          <a:ext cx="273756"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12</a:t>
          </a:r>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29</xdr:row>
          <xdr:rowOff>133350</xdr:rowOff>
        </xdr:from>
        <xdr:to>
          <xdr:col>11</xdr:col>
          <xdr:colOff>19050</xdr:colOff>
          <xdr:row>31</xdr:row>
          <xdr:rowOff>28575</xdr:rowOff>
        </xdr:to>
        <xdr:sp macro="" textlink="">
          <xdr:nvSpPr>
            <xdr:cNvPr id="3123235" name="Check Box 35" hidden="1">
              <a:extLst>
                <a:ext uri="{63B3BB69-23CF-44E3-9099-C40C66FF867C}">
                  <a14:compatExt spid="_x0000_s3123235"/>
                </a:ext>
                <a:ext uri="{FF2B5EF4-FFF2-40B4-BE49-F238E27FC236}">
                  <a16:creationId xmlns:a16="http://schemas.microsoft.com/office/drawing/2014/main" id="{00000000-0008-0000-0100-000023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73025</xdr:colOff>
      <xdr:row>29</xdr:row>
      <xdr:rowOff>19050</xdr:rowOff>
    </xdr:from>
    <xdr:to>
      <xdr:col>10</xdr:col>
      <xdr:colOff>332256</xdr:colOff>
      <xdr:row>30</xdr:row>
      <xdr:rowOff>3307</xdr:rowOff>
    </xdr:to>
    <xdr:sp macro="" textlink="">
      <xdr:nvSpPr>
        <xdr:cNvPr id="14" name="Rectangle 82">
          <a:extLst>
            <a:ext uri="{FF2B5EF4-FFF2-40B4-BE49-F238E27FC236}">
              <a16:creationId xmlns:a16="http://schemas.microsoft.com/office/drawing/2014/main" id="{ED1B9B92-0363-40B9-B1AF-9FDFA80146CC}"/>
            </a:ext>
          </a:extLst>
        </xdr:cNvPr>
        <xdr:cNvSpPr>
          <a:spLocks noChangeArrowheads="1"/>
        </xdr:cNvSpPr>
      </xdr:nvSpPr>
      <xdr:spPr bwMode="auto">
        <a:xfrm>
          <a:off x="3702050" y="5743575"/>
          <a:ext cx="259231"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13</a:t>
          </a:r>
        </a:p>
      </xdr:txBody>
    </xdr:sp>
    <xdr:clientData/>
  </xdr:twoCellAnchor>
  <mc:AlternateContent xmlns:mc="http://schemas.openxmlformats.org/markup-compatibility/2006">
    <mc:Choice xmlns:a14="http://schemas.microsoft.com/office/drawing/2010/main" Requires="a14">
      <xdr:twoCellAnchor editAs="oneCell">
        <xdr:from>
          <xdr:col>10</xdr:col>
          <xdr:colOff>285750</xdr:colOff>
          <xdr:row>29</xdr:row>
          <xdr:rowOff>133350</xdr:rowOff>
        </xdr:from>
        <xdr:to>
          <xdr:col>11</xdr:col>
          <xdr:colOff>219075</xdr:colOff>
          <xdr:row>31</xdr:row>
          <xdr:rowOff>28575</xdr:rowOff>
        </xdr:to>
        <xdr:sp macro="" textlink="">
          <xdr:nvSpPr>
            <xdr:cNvPr id="3123236" name="Check Box 36" hidden="1">
              <a:extLst>
                <a:ext uri="{63B3BB69-23CF-44E3-9099-C40C66FF867C}">
                  <a14:compatExt spid="_x0000_s3123236"/>
                </a:ext>
                <a:ext uri="{FF2B5EF4-FFF2-40B4-BE49-F238E27FC236}">
                  <a16:creationId xmlns:a16="http://schemas.microsoft.com/office/drawing/2014/main" id="{00000000-0008-0000-0100-000024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269240</xdr:colOff>
      <xdr:row>29</xdr:row>
      <xdr:rowOff>19050</xdr:rowOff>
    </xdr:from>
    <xdr:to>
      <xdr:col>11</xdr:col>
      <xdr:colOff>164465</xdr:colOff>
      <xdr:row>30</xdr:row>
      <xdr:rowOff>3307</xdr:rowOff>
    </xdr:to>
    <xdr:sp macro="" textlink="">
      <xdr:nvSpPr>
        <xdr:cNvPr id="15" name="Rectangle 84">
          <a:extLst>
            <a:ext uri="{FF2B5EF4-FFF2-40B4-BE49-F238E27FC236}">
              <a16:creationId xmlns:a16="http://schemas.microsoft.com/office/drawing/2014/main" id="{0AAC1707-FA65-4EEB-A3FB-2FCA238A87D4}"/>
            </a:ext>
          </a:extLst>
        </xdr:cNvPr>
        <xdr:cNvSpPr>
          <a:spLocks noChangeArrowheads="1"/>
        </xdr:cNvSpPr>
      </xdr:nvSpPr>
      <xdr:spPr bwMode="auto">
        <a:xfrm>
          <a:off x="3898265" y="5743575"/>
          <a:ext cx="285750"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14</a:t>
          </a:r>
        </a:p>
      </xdr:txBody>
    </xdr:sp>
    <xdr:clientData/>
  </xdr:twoCellAnchor>
  <mc:AlternateContent xmlns:mc="http://schemas.openxmlformats.org/markup-compatibility/2006">
    <mc:Choice xmlns:a14="http://schemas.microsoft.com/office/drawing/2010/main" Requires="a14">
      <xdr:twoCellAnchor editAs="oneCell">
        <xdr:from>
          <xdr:col>11</xdr:col>
          <xdr:colOff>114300</xdr:colOff>
          <xdr:row>29</xdr:row>
          <xdr:rowOff>133350</xdr:rowOff>
        </xdr:from>
        <xdr:to>
          <xdr:col>12</xdr:col>
          <xdr:colOff>47625</xdr:colOff>
          <xdr:row>31</xdr:row>
          <xdr:rowOff>28575</xdr:rowOff>
        </xdr:to>
        <xdr:sp macro="" textlink="">
          <xdr:nvSpPr>
            <xdr:cNvPr id="3123237" name="Check Box 37" hidden="1">
              <a:extLst>
                <a:ext uri="{63B3BB69-23CF-44E3-9099-C40C66FF867C}">
                  <a14:compatExt spid="_x0000_s3123237"/>
                </a:ext>
                <a:ext uri="{FF2B5EF4-FFF2-40B4-BE49-F238E27FC236}">
                  <a16:creationId xmlns:a16="http://schemas.microsoft.com/office/drawing/2014/main" id="{00000000-0008-0000-0100-000025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104775</xdr:colOff>
      <xdr:row>29</xdr:row>
      <xdr:rowOff>19050</xdr:rowOff>
    </xdr:from>
    <xdr:to>
      <xdr:col>11</xdr:col>
      <xdr:colOff>351170</xdr:colOff>
      <xdr:row>30</xdr:row>
      <xdr:rowOff>3307</xdr:rowOff>
    </xdr:to>
    <xdr:sp macro="" textlink="">
      <xdr:nvSpPr>
        <xdr:cNvPr id="16" name="Rectangle 86">
          <a:extLst>
            <a:ext uri="{FF2B5EF4-FFF2-40B4-BE49-F238E27FC236}">
              <a16:creationId xmlns:a16="http://schemas.microsoft.com/office/drawing/2014/main" id="{DEBDB0B7-6484-4EB7-9207-8479251F1612}"/>
            </a:ext>
          </a:extLst>
        </xdr:cNvPr>
        <xdr:cNvSpPr>
          <a:spLocks noChangeArrowheads="1"/>
        </xdr:cNvSpPr>
      </xdr:nvSpPr>
      <xdr:spPr bwMode="auto">
        <a:xfrm>
          <a:off x="4124325" y="5743575"/>
          <a:ext cx="246395"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15</a:t>
          </a:r>
        </a:p>
      </xdr:txBody>
    </xdr:sp>
    <xdr:clientData/>
  </xdr:twoCellAnchor>
  <mc:AlternateContent xmlns:mc="http://schemas.openxmlformats.org/markup-compatibility/2006">
    <mc:Choice xmlns:a14="http://schemas.microsoft.com/office/drawing/2010/main" Requires="a14">
      <xdr:twoCellAnchor editAs="oneCell">
        <xdr:from>
          <xdr:col>11</xdr:col>
          <xdr:colOff>323850</xdr:colOff>
          <xdr:row>29</xdr:row>
          <xdr:rowOff>133350</xdr:rowOff>
        </xdr:from>
        <xdr:to>
          <xdr:col>12</xdr:col>
          <xdr:colOff>257175</xdr:colOff>
          <xdr:row>31</xdr:row>
          <xdr:rowOff>28575</xdr:rowOff>
        </xdr:to>
        <xdr:sp macro="" textlink="">
          <xdr:nvSpPr>
            <xdr:cNvPr id="3123238" name="Check Box 38" hidden="1">
              <a:extLst>
                <a:ext uri="{63B3BB69-23CF-44E3-9099-C40C66FF867C}">
                  <a14:compatExt spid="_x0000_s3123238"/>
                </a:ext>
                <a:ext uri="{FF2B5EF4-FFF2-40B4-BE49-F238E27FC236}">
                  <a16:creationId xmlns:a16="http://schemas.microsoft.com/office/drawing/2014/main" id="{00000000-0008-0000-0100-000026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294640</xdr:colOff>
      <xdr:row>29</xdr:row>
      <xdr:rowOff>19050</xdr:rowOff>
    </xdr:from>
    <xdr:to>
      <xdr:col>12</xdr:col>
      <xdr:colOff>183637</xdr:colOff>
      <xdr:row>30</xdr:row>
      <xdr:rowOff>3307</xdr:rowOff>
    </xdr:to>
    <xdr:sp macro="" textlink="">
      <xdr:nvSpPr>
        <xdr:cNvPr id="17" name="Rectangle 88">
          <a:extLst>
            <a:ext uri="{FF2B5EF4-FFF2-40B4-BE49-F238E27FC236}">
              <a16:creationId xmlns:a16="http://schemas.microsoft.com/office/drawing/2014/main" id="{AD8722FB-8EEF-46FF-8960-8D6222CBFFCA}"/>
            </a:ext>
          </a:extLst>
        </xdr:cNvPr>
        <xdr:cNvSpPr>
          <a:spLocks noChangeArrowheads="1"/>
        </xdr:cNvSpPr>
      </xdr:nvSpPr>
      <xdr:spPr bwMode="auto">
        <a:xfrm>
          <a:off x="4314190" y="5743575"/>
          <a:ext cx="279522"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16</a:t>
          </a:r>
        </a:p>
      </xdr:txBody>
    </xdr:sp>
    <xdr:clientData/>
  </xdr:twoCellAnchor>
  <mc:AlternateContent xmlns:mc="http://schemas.openxmlformats.org/markup-compatibility/2006">
    <mc:Choice xmlns:a14="http://schemas.microsoft.com/office/drawing/2010/main" Requires="a14">
      <xdr:twoCellAnchor editAs="oneCell">
        <xdr:from>
          <xdr:col>12</xdr:col>
          <xdr:colOff>152400</xdr:colOff>
          <xdr:row>29</xdr:row>
          <xdr:rowOff>133350</xdr:rowOff>
        </xdr:from>
        <xdr:to>
          <xdr:col>13</xdr:col>
          <xdr:colOff>85725</xdr:colOff>
          <xdr:row>31</xdr:row>
          <xdr:rowOff>28575</xdr:rowOff>
        </xdr:to>
        <xdr:sp macro="" textlink="">
          <xdr:nvSpPr>
            <xdr:cNvPr id="3123239" name="Check Box 39" hidden="1">
              <a:extLst>
                <a:ext uri="{63B3BB69-23CF-44E3-9099-C40C66FF867C}">
                  <a14:compatExt spid="_x0000_s3123239"/>
                </a:ext>
                <a:ext uri="{FF2B5EF4-FFF2-40B4-BE49-F238E27FC236}">
                  <a16:creationId xmlns:a16="http://schemas.microsoft.com/office/drawing/2014/main" id="{00000000-0008-0000-0100-000027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130175</xdr:colOff>
      <xdr:row>29</xdr:row>
      <xdr:rowOff>19050</xdr:rowOff>
    </xdr:from>
    <xdr:to>
      <xdr:col>13</xdr:col>
      <xdr:colOff>19172</xdr:colOff>
      <xdr:row>30</xdr:row>
      <xdr:rowOff>3307</xdr:rowOff>
    </xdr:to>
    <xdr:sp macro="" textlink="">
      <xdr:nvSpPr>
        <xdr:cNvPr id="18" name="Rectangle 90">
          <a:extLst>
            <a:ext uri="{FF2B5EF4-FFF2-40B4-BE49-F238E27FC236}">
              <a16:creationId xmlns:a16="http://schemas.microsoft.com/office/drawing/2014/main" id="{B66DFA46-5FF2-463D-A92C-8B050689D4BB}"/>
            </a:ext>
          </a:extLst>
        </xdr:cNvPr>
        <xdr:cNvSpPr>
          <a:spLocks noChangeArrowheads="1"/>
        </xdr:cNvSpPr>
      </xdr:nvSpPr>
      <xdr:spPr bwMode="auto">
        <a:xfrm>
          <a:off x="4540250" y="5743575"/>
          <a:ext cx="279522"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17</a:t>
          </a:r>
        </a:p>
      </xdr:txBody>
    </xdr:sp>
    <xdr:clientData/>
  </xdr:twoCellAnchor>
  <mc:AlternateContent xmlns:mc="http://schemas.openxmlformats.org/markup-compatibility/2006">
    <mc:Choice xmlns:a14="http://schemas.microsoft.com/office/drawing/2010/main" Requires="a14">
      <xdr:twoCellAnchor editAs="oneCell">
        <xdr:from>
          <xdr:col>12</xdr:col>
          <xdr:colOff>342900</xdr:colOff>
          <xdr:row>29</xdr:row>
          <xdr:rowOff>133350</xdr:rowOff>
        </xdr:from>
        <xdr:to>
          <xdr:col>13</xdr:col>
          <xdr:colOff>276225</xdr:colOff>
          <xdr:row>31</xdr:row>
          <xdr:rowOff>28575</xdr:rowOff>
        </xdr:to>
        <xdr:sp macro="" textlink="">
          <xdr:nvSpPr>
            <xdr:cNvPr id="3123240" name="Check Box 40" hidden="1">
              <a:extLst>
                <a:ext uri="{63B3BB69-23CF-44E3-9099-C40C66FF867C}">
                  <a14:compatExt spid="_x0000_s3123240"/>
                </a:ext>
                <a:ext uri="{FF2B5EF4-FFF2-40B4-BE49-F238E27FC236}">
                  <a16:creationId xmlns:a16="http://schemas.microsoft.com/office/drawing/2014/main" id="{00000000-0008-0000-0100-000028A82F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332740</xdr:colOff>
      <xdr:row>29</xdr:row>
      <xdr:rowOff>19050</xdr:rowOff>
    </xdr:from>
    <xdr:to>
      <xdr:col>13</xdr:col>
      <xdr:colOff>215971</xdr:colOff>
      <xdr:row>30</xdr:row>
      <xdr:rowOff>3307</xdr:rowOff>
    </xdr:to>
    <xdr:sp macro="" textlink="">
      <xdr:nvSpPr>
        <xdr:cNvPr id="19" name="Rectangle 92">
          <a:extLst>
            <a:ext uri="{FF2B5EF4-FFF2-40B4-BE49-F238E27FC236}">
              <a16:creationId xmlns:a16="http://schemas.microsoft.com/office/drawing/2014/main" id="{9B393DE9-6465-40A9-9361-5795B3764544}"/>
            </a:ext>
          </a:extLst>
        </xdr:cNvPr>
        <xdr:cNvSpPr>
          <a:spLocks noChangeArrowheads="1"/>
        </xdr:cNvSpPr>
      </xdr:nvSpPr>
      <xdr:spPr bwMode="auto">
        <a:xfrm>
          <a:off x="4742815" y="5743575"/>
          <a:ext cx="273756" cy="146182"/>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18</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27</xdr:row>
          <xdr:rowOff>142875</xdr:rowOff>
        </xdr:from>
        <xdr:to>
          <xdr:col>1</xdr:col>
          <xdr:colOff>333375</xdr:colOff>
          <xdr:row>29</xdr:row>
          <xdr:rowOff>28575</xdr:rowOff>
        </xdr:to>
        <xdr:sp macro="" textlink="">
          <xdr:nvSpPr>
            <xdr:cNvPr id="1819649" name="Check Box 1" hidden="1">
              <a:extLst>
                <a:ext uri="{63B3BB69-23CF-44E3-9099-C40C66FF867C}">
                  <a14:compatExt spid="_x0000_s1819649"/>
                </a:ext>
                <a:ext uri="{FF2B5EF4-FFF2-40B4-BE49-F238E27FC236}">
                  <a16:creationId xmlns:a16="http://schemas.microsoft.com/office/drawing/2014/main" id="{00000000-0008-0000-0300-000001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133350</xdr:rowOff>
        </xdr:from>
        <xdr:to>
          <xdr:col>1</xdr:col>
          <xdr:colOff>333375</xdr:colOff>
          <xdr:row>30</xdr:row>
          <xdr:rowOff>19050</xdr:rowOff>
        </xdr:to>
        <xdr:sp macro="" textlink="">
          <xdr:nvSpPr>
            <xdr:cNvPr id="1819650" name="Check Box 2" hidden="1">
              <a:extLst>
                <a:ext uri="{63B3BB69-23CF-44E3-9099-C40C66FF867C}">
                  <a14:compatExt spid="_x0000_s1819650"/>
                </a:ext>
                <a:ext uri="{FF2B5EF4-FFF2-40B4-BE49-F238E27FC236}">
                  <a16:creationId xmlns:a16="http://schemas.microsoft.com/office/drawing/2014/main" id="{00000000-0008-0000-0300-000002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133350</xdr:rowOff>
        </xdr:from>
        <xdr:to>
          <xdr:col>1</xdr:col>
          <xdr:colOff>333375</xdr:colOff>
          <xdr:row>31</xdr:row>
          <xdr:rowOff>19050</xdr:rowOff>
        </xdr:to>
        <xdr:sp macro="" textlink="">
          <xdr:nvSpPr>
            <xdr:cNvPr id="1819651" name="Check Box 3" hidden="1">
              <a:extLst>
                <a:ext uri="{63B3BB69-23CF-44E3-9099-C40C66FF867C}">
                  <a14:compatExt spid="_x0000_s1819651"/>
                </a:ext>
                <a:ext uri="{FF2B5EF4-FFF2-40B4-BE49-F238E27FC236}">
                  <a16:creationId xmlns:a16="http://schemas.microsoft.com/office/drawing/2014/main" id="{00000000-0008-0000-0300-000003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133350</xdr:rowOff>
        </xdr:from>
        <xdr:to>
          <xdr:col>1</xdr:col>
          <xdr:colOff>333375</xdr:colOff>
          <xdr:row>32</xdr:row>
          <xdr:rowOff>19050</xdr:rowOff>
        </xdr:to>
        <xdr:sp macro="" textlink="">
          <xdr:nvSpPr>
            <xdr:cNvPr id="1819652" name="Check Box 4" hidden="1">
              <a:extLst>
                <a:ext uri="{63B3BB69-23CF-44E3-9099-C40C66FF867C}">
                  <a14:compatExt spid="_x0000_s1819652"/>
                </a:ext>
                <a:ext uri="{FF2B5EF4-FFF2-40B4-BE49-F238E27FC236}">
                  <a16:creationId xmlns:a16="http://schemas.microsoft.com/office/drawing/2014/main" id="{00000000-0008-0000-0300-000004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142875</xdr:rowOff>
        </xdr:from>
        <xdr:to>
          <xdr:col>1</xdr:col>
          <xdr:colOff>333375</xdr:colOff>
          <xdr:row>33</xdr:row>
          <xdr:rowOff>28575</xdr:rowOff>
        </xdr:to>
        <xdr:sp macro="" textlink="">
          <xdr:nvSpPr>
            <xdr:cNvPr id="1819653" name="Check Box 5" hidden="1">
              <a:extLst>
                <a:ext uri="{63B3BB69-23CF-44E3-9099-C40C66FF867C}">
                  <a14:compatExt spid="_x0000_s1819653"/>
                </a:ext>
                <a:ext uri="{FF2B5EF4-FFF2-40B4-BE49-F238E27FC236}">
                  <a16:creationId xmlns:a16="http://schemas.microsoft.com/office/drawing/2014/main" id="{00000000-0008-0000-0300-000005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29</xdr:row>
          <xdr:rowOff>133350</xdr:rowOff>
        </xdr:from>
        <xdr:to>
          <xdr:col>10</xdr:col>
          <xdr:colOff>333375</xdr:colOff>
          <xdr:row>31</xdr:row>
          <xdr:rowOff>19050</xdr:rowOff>
        </xdr:to>
        <xdr:sp macro="" textlink="">
          <xdr:nvSpPr>
            <xdr:cNvPr id="1819654" name="Check Box 6" hidden="1">
              <a:extLst>
                <a:ext uri="{63B3BB69-23CF-44E3-9099-C40C66FF867C}">
                  <a14:compatExt spid="_x0000_s1819654"/>
                </a:ext>
                <a:ext uri="{FF2B5EF4-FFF2-40B4-BE49-F238E27FC236}">
                  <a16:creationId xmlns:a16="http://schemas.microsoft.com/office/drawing/2014/main" id="{00000000-0008-0000-0300-000006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28</xdr:row>
          <xdr:rowOff>133350</xdr:rowOff>
        </xdr:from>
        <xdr:to>
          <xdr:col>10</xdr:col>
          <xdr:colOff>333375</xdr:colOff>
          <xdr:row>30</xdr:row>
          <xdr:rowOff>19050</xdr:rowOff>
        </xdr:to>
        <xdr:sp macro="" textlink="">
          <xdr:nvSpPr>
            <xdr:cNvPr id="1819655" name="Check Box 7" hidden="1">
              <a:extLst>
                <a:ext uri="{63B3BB69-23CF-44E3-9099-C40C66FF867C}">
                  <a14:compatExt spid="_x0000_s1819655"/>
                </a:ext>
                <a:ext uri="{FF2B5EF4-FFF2-40B4-BE49-F238E27FC236}">
                  <a16:creationId xmlns:a16="http://schemas.microsoft.com/office/drawing/2014/main" id="{00000000-0008-0000-0300-000007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133350</xdr:rowOff>
        </xdr:from>
        <xdr:to>
          <xdr:col>10</xdr:col>
          <xdr:colOff>333375</xdr:colOff>
          <xdr:row>29</xdr:row>
          <xdr:rowOff>19050</xdr:rowOff>
        </xdr:to>
        <xdr:sp macro="" textlink="">
          <xdr:nvSpPr>
            <xdr:cNvPr id="1819656" name="Check Box 8" hidden="1">
              <a:extLst>
                <a:ext uri="{63B3BB69-23CF-44E3-9099-C40C66FF867C}">
                  <a14:compatExt spid="_x0000_s1819656"/>
                </a:ext>
                <a:ext uri="{FF2B5EF4-FFF2-40B4-BE49-F238E27FC236}">
                  <a16:creationId xmlns:a16="http://schemas.microsoft.com/office/drawing/2014/main" id="{00000000-0008-0000-0300-000008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133350</xdr:rowOff>
        </xdr:from>
        <xdr:to>
          <xdr:col>1</xdr:col>
          <xdr:colOff>342900</xdr:colOff>
          <xdr:row>42</xdr:row>
          <xdr:rowOff>19050</xdr:rowOff>
        </xdr:to>
        <xdr:sp macro="" textlink="">
          <xdr:nvSpPr>
            <xdr:cNvPr id="1819657" name="Check Box 9" hidden="1">
              <a:extLst>
                <a:ext uri="{63B3BB69-23CF-44E3-9099-C40C66FF867C}">
                  <a14:compatExt spid="_x0000_s1819657"/>
                </a:ext>
                <a:ext uri="{FF2B5EF4-FFF2-40B4-BE49-F238E27FC236}">
                  <a16:creationId xmlns:a16="http://schemas.microsoft.com/office/drawing/2014/main" id="{00000000-0008-0000-0300-000009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142875</xdr:rowOff>
        </xdr:from>
        <xdr:to>
          <xdr:col>1</xdr:col>
          <xdr:colOff>342900</xdr:colOff>
          <xdr:row>39</xdr:row>
          <xdr:rowOff>28575</xdr:rowOff>
        </xdr:to>
        <xdr:sp macro="" textlink="">
          <xdr:nvSpPr>
            <xdr:cNvPr id="1819658" name="Check Box 10" hidden="1">
              <a:extLst>
                <a:ext uri="{63B3BB69-23CF-44E3-9099-C40C66FF867C}">
                  <a14:compatExt spid="_x0000_s1819658"/>
                </a:ext>
                <a:ext uri="{FF2B5EF4-FFF2-40B4-BE49-F238E27FC236}">
                  <a16:creationId xmlns:a16="http://schemas.microsoft.com/office/drawing/2014/main" id="{00000000-0008-0000-0300-00000A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36</xdr:row>
          <xdr:rowOff>133350</xdr:rowOff>
        </xdr:from>
        <xdr:to>
          <xdr:col>1</xdr:col>
          <xdr:colOff>342900</xdr:colOff>
          <xdr:row>38</xdr:row>
          <xdr:rowOff>19050</xdr:rowOff>
        </xdr:to>
        <xdr:sp macro="" textlink="">
          <xdr:nvSpPr>
            <xdr:cNvPr id="1819659" name="Check Box 11" hidden="1">
              <a:extLst>
                <a:ext uri="{63B3BB69-23CF-44E3-9099-C40C66FF867C}">
                  <a14:compatExt spid="_x0000_s1819659"/>
                </a:ext>
                <a:ext uri="{FF2B5EF4-FFF2-40B4-BE49-F238E27FC236}">
                  <a16:creationId xmlns:a16="http://schemas.microsoft.com/office/drawing/2014/main" id="{00000000-0008-0000-0300-00000B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133350</xdr:rowOff>
        </xdr:from>
        <xdr:to>
          <xdr:col>1</xdr:col>
          <xdr:colOff>342900</xdr:colOff>
          <xdr:row>37</xdr:row>
          <xdr:rowOff>19050</xdr:rowOff>
        </xdr:to>
        <xdr:sp macro="" textlink="">
          <xdr:nvSpPr>
            <xdr:cNvPr id="1819660" name="Check Box 12" hidden="1">
              <a:extLst>
                <a:ext uri="{63B3BB69-23CF-44E3-9099-C40C66FF867C}">
                  <a14:compatExt spid="_x0000_s1819660"/>
                </a:ext>
                <a:ext uri="{FF2B5EF4-FFF2-40B4-BE49-F238E27FC236}">
                  <a16:creationId xmlns:a16="http://schemas.microsoft.com/office/drawing/2014/main" id="{00000000-0008-0000-0300-00000C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123825</xdr:rowOff>
        </xdr:from>
        <xdr:to>
          <xdr:col>1</xdr:col>
          <xdr:colOff>342900</xdr:colOff>
          <xdr:row>36</xdr:row>
          <xdr:rowOff>9525</xdr:rowOff>
        </xdr:to>
        <xdr:sp macro="" textlink="">
          <xdr:nvSpPr>
            <xdr:cNvPr id="1819661" name="Check Box 13" hidden="1">
              <a:extLst>
                <a:ext uri="{63B3BB69-23CF-44E3-9099-C40C66FF867C}">
                  <a14:compatExt spid="_x0000_s1819661"/>
                </a:ext>
                <a:ext uri="{FF2B5EF4-FFF2-40B4-BE49-F238E27FC236}">
                  <a16:creationId xmlns:a16="http://schemas.microsoft.com/office/drawing/2014/main" id="{00000000-0008-0000-0300-00000D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60</xdr:row>
          <xdr:rowOff>142875</xdr:rowOff>
        </xdr:from>
        <xdr:to>
          <xdr:col>6</xdr:col>
          <xdr:colOff>209550</xdr:colOff>
          <xdr:row>62</xdr:row>
          <xdr:rowOff>28575</xdr:rowOff>
        </xdr:to>
        <xdr:sp macro="" textlink="">
          <xdr:nvSpPr>
            <xdr:cNvPr id="1819662" name="Check Box 14" hidden="1">
              <a:extLst>
                <a:ext uri="{63B3BB69-23CF-44E3-9099-C40C66FF867C}">
                  <a14:compatExt spid="_x0000_s1819662"/>
                </a:ext>
                <a:ext uri="{FF2B5EF4-FFF2-40B4-BE49-F238E27FC236}">
                  <a16:creationId xmlns:a16="http://schemas.microsoft.com/office/drawing/2014/main" id="{00000000-0008-0000-0300-00000E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60</xdr:row>
          <xdr:rowOff>142875</xdr:rowOff>
        </xdr:from>
        <xdr:to>
          <xdr:col>8</xdr:col>
          <xdr:colOff>295275</xdr:colOff>
          <xdr:row>62</xdr:row>
          <xdr:rowOff>28575</xdr:rowOff>
        </xdr:to>
        <xdr:sp macro="" textlink="">
          <xdr:nvSpPr>
            <xdr:cNvPr id="1819663" name="Check Box 15" hidden="1">
              <a:extLst>
                <a:ext uri="{63B3BB69-23CF-44E3-9099-C40C66FF867C}">
                  <a14:compatExt spid="_x0000_s1819663"/>
                </a:ext>
                <a:ext uri="{FF2B5EF4-FFF2-40B4-BE49-F238E27FC236}">
                  <a16:creationId xmlns:a16="http://schemas.microsoft.com/office/drawing/2014/main" id="{00000000-0008-0000-0300-00000F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61</xdr:row>
          <xdr:rowOff>123825</xdr:rowOff>
        </xdr:from>
        <xdr:to>
          <xdr:col>7</xdr:col>
          <xdr:colOff>9525</xdr:colOff>
          <xdr:row>63</xdr:row>
          <xdr:rowOff>19050</xdr:rowOff>
        </xdr:to>
        <xdr:sp macro="" textlink="">
          <xdr:nvSpPr>
            <xdr:cNvPr id="1819664" name="Check Box 16" hidden="1">
              <a:extLst>
                <a:ext uri="{63B3BB69-23CF-44E3-9099-C40C66FF867C}">
                  <a14:compatExt spid="_x0000_s1819664"/>
                </a:ext>
                <a:ext uri="{FF2B5EF4-FFF2-40B4-BE49-F238E27FC236}">
                  <a16:creationId xmlns:a16="http://schemas.microsoft.com/office/drawing/2014/main" id="{00000000-0008-0000-0300-000010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Interim Approval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30</xdr:row>
          <xdr:rowOff>133350</xdr:rowOff>
        </xdr:from>
        <xdr:to>
          <xdr:col>10</xdr:col>
          <xdr:colOff>333375</xdr:colOff>
          <xdr:row>32</xdr:row>
          <xdr:rowOff>19050</xdr:rowOff>
        </xdr:to>
        <xdr:sp macro="" textlink="">
          <xdr:nvSpPr>
            <xdr:cNvPr id="1819665" name="Check Box 17" hidden="1">
              <a:extLst>
                <a:ext uri="{63B3BB69-23CF-44E3-9099-C40C66FF867C}">
                  <a14:compatExt spid="_x0000_s1819665"/>
                </a:ext>
                <a:ext uri="{FF2B5EF4-FFF2-40B4-BE49-F238E27FC236}">
                  <a16:creationId xmlns:a16="http://schemas.microsoft.com/office/drawing/2014/main" id="{00000000-0008-0000-0300-000011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57150</xdr:rowOff>
        </xdr:from>
        <xdr:to>
          <xdr:col>15</xdr:col>
          <xdr:colOff>114300</xdr:colOff>
          <xdr:row>24</xdr:row>
          <xdr:rowOff>28575</xdr:rowOff>
        </xdr:to>
        <xdr:sp macro="" textlink="">
          <xdr:nvSpPr>
            <xdr:cNvPr id="1819666" name="Check Box 18" hidden="1">
              <a:extLst>
                <a:ext uri="{63B3BB69-23CF-44E3-9099-C40C66FF867C}">
                  <a14:compatExt spid="_x0000_s1819666"/>
                </a:ext>
                <a:ext uri="{FF2B5EF4-FFF2-40B4-BE49-F238E27FC236}">
                  <a16:creationId xmlns:a16="http://schemas.microsoft.com/office/drawing/2014/main" id="{00000000-0008-0000-0300-000012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22</xdr:row>
          <xdr:rowOff>57150</xdr:rowOff>
        </xdr:from>
        <xdr:to>
          <xdr:col>17</xdr:col>
          <xdr:colOff>114300</xdr:colOff>
          <xdr:row>24</xdr:row>
          <xdr:rowOff>28575</xdr:rowOff>
        </xdr:to>
        <xdr:sp macro="" textlink="">
          <xdr:nvSpPr>
            <xdr:cNvPr id="1819667" name="Check Box 19" hidden="1">
              <a:extLst>
                <a:ext uri="{63B3BB69-23CF-44E3-9099-C40C66FF867C}">
                  <a14:compatExt spid="_x0000_s1819667"/>
                </a:ext>
                <a:ext uri="{FF2B5EF4-FFF2-40B4-BE49-F238E27FC236}">
                  <a16:creationId xmlns:a16="http://schemas.microsoft.com/office/drawing/2014/main" id="{00000000-0008-0000-0300-000013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xdr:row>
          <xdr:rowOff>133350</xdr:rowOff>
        </xdr:from>
        <xdr:to>
          <xdr:col>15</xdr:col>
          <xdr:colOff>114300</xdr:colOff>
          <xdr:row>26</xdr:row>
          <xdr:rowOff>19050</xdr:rowOff>
        </xdr:to>
        <xdr:sp macro="" textlink="">
          <xdr:nvSpPr>
            <xdr:cNvPr id="1819668" name="Check Box 20" hidden="1">
              <a:extLst>
                <a:ext uri="{63B3BB69-23CF-44E3-9099-C40C66FF867C}">
                  <a14:compatExt spid="_x0000_s1819668"/>
                </a:ext>
                <a:ext uri="{FF2B5EF4-FFF2-40B4-BE49-F238E27FC236}">
                  <a16:creationId xmlns:a16="http://schemas.microsoft.com/office/drawing/2014/main" id="{00000000-0008-0000-0300-000014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24</xdr:row>
          <xdr:rowOff>133350</xdr:rowOff>
        </xdr:from>
        <xdr:to>
          <xdr:col>17</xdr:col>
          <xdr:colOff>123825</xdr:colOff>
          <xdr:row>26</xdr:row>
          <xdr:rowOff>19050</xdr:rowOff>
        </xdr:to>
        <xdr:sp macro="" textlink="">
          <xdr:nvSpPr>
            <xdr:cNvPr id="1819669" name="Check Box 21" hidden="1">
              <a:extLst>
                <a:ext uri="{63B3BB69-23CF-44E3-9099-C40C66FF867C}">
                  <a14:compatExt spid="_x0000_s1819669"/>
                </a:ext>
                <a:ext uri="{FF2B5EF4-FFF2-40B4-BE49-F238E27FC236}">
                  <a16:creationId xmlns:a16="http://schemas.microsoft.com/office/drawing/2014/main" id="{00000000-0008-0000-0300-000015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31</xdr:row>
          <xdr:rowOff>133350</xdr:rowOff>
        </xdr:from>
        <xdr:to>
          <xdr:col>10</xdr:col>
          <xdr:colOff>333375</xdr:colOff>
          <xdr:row>33</xdr:row>
          <xdr:rowOff>19050</xdr:rowOff>
        </xdr:to>
        <xdr:sp macro="" textlink="">
          <xdr:nvSpPr>
            <xdr:cNvPr id="1819670" name="Check Box 22" hidden="1">
              <a:extLst>
                <a:ext uri="{63B3BB69-23CF-44E3-9099-C40C66FF867C}">
                  <a14:compatExt spid="_x0000_s1819670"/>
                </a:ext>
                <a:ext uri="{FF2B5EF4-FFF2-40B4-BE49-F238E27FC236}">
                  <a16:creationId xmlns:a16="http://schemas.microsoft.com/office/drawing/2014/main" id="{00000000-0008-0000-0300-000016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39</xdr:row>
          <xdr:rowOff>133350</xdr:rowOff>
        </xdr:from>
        <xdr:to>
          <xdr:col>4</xdr:col>
          <xdr:colOff>152400</xdr:colOff>
          <xdr:row>41</xdr:row>
          <xdr:rowOff>28575</xdr:rowOff>
        </xdr:to>
        <xdr:sp macro="" textlink="">
          <xdr:nvSpPr>
            <xdr:cNvPr id="1819671" name="Check Box 23" hidden="1">
              <a:extLst>
                <a:ext uri="{63B3BB69-23CF-44E3-9099-C40C66FF867C}">
                  <a14:compatExt spid="_x0000_s1819671"/>
                </a:ext>
                <a:ext uri="{FF2B5EF4-FFF2-40B4-BE49-F238E27FC236}">
                  <a16:creationId xmlns:a16="http://schemas.microsoft.com/office/drawing/2014/main" id="{00000000-0008-0000-0300-000017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206375</xdr:colOff>
      <xdr:row>39</xdr:row>
      <xdr:rowOff>19050</xdr:rowOff>
    </xdr:from>
    <xdr:to>
      <xdr:col>4</xdr:col>
      <xdr:colOff>92075</xdr:colOff>
      <xdr:row>40</xdr:row>
      <xdr:rowOff>3307</xdr:rowOff>
    </xdr:to>
    <xdr:sp macro="" textlink="">
      <xdr:nvSpPr>
        <xdr:cNvPr id="25" name="Rectangle 55">
          <a:extLst>
            <a:ext uri="{FF2B5EF4-FFF2-40B4-BE49-F238E27FC236}">
              <a16:creationId xmlns:a16="http://schemas.microsoft.com/office/drawing/2014/main" id="{00000000-0008-0000-0200-000019000000}"/>
            </a:ext>
          </a:extLst>
        </xdr:cNvPr>
        <xdr:cNvSpPr>
          <a:spLocks noChangeArrowheads="1"/>
        </xdr:cNvSpPr>
      </xdr:nvSpPr>
      <xdr:spPr bwMode="auto">
        <a:xfrm>
          <a:off x="1093470" y="5695950"/>
          <a:ext cx="274320"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a:t>
          </a: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39</xdr:row>
          <xdr:rowOff>133350</xdr:rowOff>
        </xdr:from>
        <xdr:to>
          <xdr:col>5</xdr:col>
          <xdr:colOff>0</xdr:colOff>
          <xdr:row>41</xdr:row>
          <xdr:rowOff>28575</xdr:rowOff>
        </xdr:to>
        <xdr:sp macro="" textlink="">
          <xdr:nvSpPr>
            <xdr:cNvPr id="1819672" name="Check Box 24" hidden="1">
              <a:extLst>
                <a:ext uri="{63B3BB69-23CF-44E3-9099-C40C66FF867C}">
                  <a14:compatExt spid="_x0000_s1819672"/>
                </a:ext>
                <a:ext uri="{FF2B5EF4-FFF2-40B4-BE49-F238E27FC236}">
                  <a16:creationId xmlns:a16="http://schemas.microsoft.com/office/drawing/2014/main" id="{00000000-0008-0000-0300-000018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57150</xdr:colOff>
      <xdr:row>39</xdr:row>
      <xdr:rowOff>19050</xdr:rowOff>
    </xdr:from>
    <xdr:to>
      <xdr:col>4</xdr:col>
      <xdr:colOff>313871</xdr:colOff>
      <xdr:row>40</xdr:row>
      <xdr:rowOff>3307</xdr:rowOff>
    </xdr:to>
    <xdr:sp macro="" textlink="">
      <xdr:nvSpPr>
        <xdr:cNvPr id="27" name="Rectangle 60">
          <a:extLst>
            <a:ext uri="{FF2B5EF4-FFF2-40B4-BE49-F238E27FC236}">
              <a16:creationId xmlns:a16="http://schemas.microsoft.com/office/drawing/2014/main" id="{00000000-0008-0000-0200-00001B000000}"/>
            </a:ext>
          </a:extLst>
        </xdr:cNvPr>
        <xdr:cNvSpPr>
          <a:spLocks noChangeArrowheads="1"/>
        </xdr:cNvSpPr>
      </xdr:nvSpPr>
      <xdr:spPr bwMode="auto">
        <a:xfrm>
          <a:off x="1329690" y="5695950"/>
          <a:ext cx="263248"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2</a:t>
          </a:r>
        </a:p>
      </xdr:txBody>
    </xdr:sp>
    <xdr:clientData/>
  </xdr:twoCellAnchor>
  <mc:AlternateContent xmlns:mc="http://schemas.openxmlformats.org/markup-compatibility/2006">
    <mc:Choice xmlns:a14="http://schemas.microsoft.com/office/drawing/2010/main" Requires="a14">
      <xdr:twoCellAnchor editAs="oneCell">
        <xdr:from>
          <xdr:col>4</xdr:col>
          <xdr:colOff>285750</xdr:colOff>
          <xdr:row>39</xdr:row>
          <xdr:rowOff>133350</xdr:rowOff>
        </xdr:from>
        <xdr:to>
          <xdr:col>5</xdr:col>
          <xdr:colOff>219075</xdr:colOff>
          <xdr:row>41</xdr:row>
          <xdr:rowOff>28575</xdr:rowOff>
        </xdr:to>
        <xdr:sp macro="" textlink="">
          <xdr:nvSpPr>
            <xdr:cNvPr id="1819673" name="Check Box 25" hidden="1">
              <a:extLst>
                <a:ext uri="{63B3BB69-23CF-44E3-9099-C40C66FF867C}">
                  <a14:compatExt spid="_x0000_s1819673"/>
                </a:ext>
                <a:ext uri="{FF2B5EF4-FFF2-40B4-BE49-F238E27FC236}">
                  <a16:creationId xmlns:a16="http://schemas.microsoft.com/office/drawing/2014/main" id="{00000000-0008-0000-0300-000019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256540</xdr:colOff>
      <xdr:row>39</xdr:row>
      <xdr:rowOff>19050</xdr:rowOff>
    </xdr:from>
    <xdr:to>
      <xdr:col>5</xdr:col>
      <xdr:colOff>145537</xdr:colOff>
      <xdr:row>40</xdr:row>
      <xdr:rowOff>3307</xdr:rowOff>
    </xdr:to>
    <xdr:sp macro="" textlink="">
      <xdr:nvSpPr>
        <xdr:cNvPr id="29" name="Rectangle 62">
          <a:extLst>
            <a:ext uri="{FF2B5EF4-FFF2-40B4-BE49-F238E27FC236}">
              <a16:creationId xmlns:a16="http://schemas.microsoft.com/office/drawing/2014/main" id="{00000000-0008-0000-0200-00001D000000}"/>
            </a:ext>
          </a:extLst>
        </xdr:cNvPr>
        <xdr:cNvSpPr>
          <a:spLocks noChangeArrowheads="1"/>
        </xdr:cNvSpPr>
      </xdr:nvSpPr>
      <xdr:spPr bwMode="auto">
        <a:xfrm>
          <a:off x="1544955" y="5695950"/>
          <a:ext cx="274320"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3</a:t>
          </a:r>
        </a:p>
      </xdr:txBody>
    </xdr:sp>
    <xdr:clientData/>
  </xdr:twoCellAnchor>
  <mc:AlternateContent xmlns:mc="http://schemas.openxmlformats.org/markup-compatibility/2006">
    <mc:Choice xmlns:a14="http://schemas.microsoft.com/office/drawing/2010/main" Requires="a14">
      <xdr:twoCellAnchor editAs="oneCell">
        <xdr:from>
          <xdr:col>5</xdr:col>
          <xdr:colOff>133350</xdr:colOff>
          <xdr:row>39</xdr:row>
          <xdr:rowOff>133350</xdr:rowOff>
        </xdr:from>
        <xdr:to>
          <xdr:col>6</xdr:col>
          <xdr:colOff>66675</xdr:colOff>
          <xdr:row>41</xdr:row>
          <xdr:rowOff>28575</xdr:rowOff>
        </xdr:to>
        <xdr:sp macro="" textlink="">
          <xdr:nvSpPr>
            <xdr:cNvPr id="1819674" name="Check Box 26" hidden="1">
              <a:extLst>
                <a:ext uri="{63B3BB69-23CF-44E3-9099-C40C66FF867C}">
                  <a14:compatExt spid="_x0000_s1819674"/>
                </a:ext>
                <a:ext uri="{FF2B5EF4-FFF2-40B4-BE49-F238E27FC236}">
                  <a16:creationId xmlns:a16="http://schemas.microsoft.com/office/drawing/2014/main" id="{00000000-0008-0000-0300-00001A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130175</xdr:colOff>
      <xdr:row>39</xdr:row>
      <xdr:rowOff>19050</xdr:rowOff>
    </xdr:from>
    <xdr:to>
      <xdr:col>6</xdr:col>
      <xdr:colOff>19172</xdr:colOff>
      <xdr:row>40</xdr:row>
      <xdr:rowOff>3307</xdr:rowOff>
    </xdr:to>
    <xdr:sp macro="" textlink="">
      <xdr:nvSpPr>
        <xdr:cNvPr id="31" name="Rectangle 64">
          <a:extLst>
            <a:ext uri="{FF2B5EF4-FFF2-40B4-BE49-F238E27FC236}">
              <a16:creationId xmlns:a16="http://schemas.microsoft.com/office/drawing/2014/main" id="{00000000-0008-0000-0200-00001F000000}"/>
            </a:ext>
          </a:extLst>
        </xdr:cNvPr>
        <xdr:cNvSpPr>
          <a:spLocks noChangeArrowheads="1"/>
        </xdr:cNvSpPr>
      </xdr:nvSpPr>
      <xdr:spPr bwMode="auto">
        <a:xfrm>
          <a:off x="1794510" y="5695950"/>
          <a:ext cx="274320"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4</a:t>
          </a:r>
        </a:p>
      </xdr:txBody>
    </xdr:sp>
    <xdr:clientData/>
  </xdr:twoCellAnchor>
  <mc:AlternateContent xmlns:mc="http://schemas.openxmlformats.org/markup-compatibility/2006">
    <mc:Choice xmlns:a14="http://schemas.microsoft.com/office/drawing/2010/main" Requires="a14">
      <xdr:twoCellAnchor editAs="oneCell">
        <xdr:from>
          <xdr:col>5</xdr:col>
          <xdr:colOff>333375</xdr:colOff>
          <xdr:row>39</xdr:row>
          <xdr:rowOff>133350</xdr:rowOff>
        </xdr:from>
        <xdr:to>
          <xdr:col>6</xdr:col>
          <xdr:colOff>266700</xdr:colOff>
          <xdr:row>41</xdr:row>
          <xdr:rowOff>28575</xdr:rowOff>
        </xdr:to>
        <xdr:sp macro="" textlink="">
          <xdr:nvSpPr>
            <xdr:cNvPr id="1819675" name="Check Box 27" hidden="1">
              <a:extLst>
                <a:ext uri="{63B3BB69-23CF-44E3-9099-C40C66FF867C}">
                  <a14:compatExt spid="_x0000_s1819675"/>
                </a:ext>
                <a:ext uri="{FF2B5EF4-FFF2-40B4-BE49-F238E27FC236}">
                  <a16:creationId xmlns:a16="http://schemas.microsoft.com/office/drawing/2014/main" id="{00000000-0008-0000-0300-00001B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332740</xdr:colOff>
      <xdr:row>39</xdr:row>
      <xdr:rowOff>19050</xdr:rowOff>
    </xdr:from>
    <xdr:to>
      <xdr:col>6</xdr:col>
      <xdr:colOff>215971</xdr:colOff>
      <xdr:row>40</xdr:row>
      <xdr:rowOff>3307</xdr:rowOff>
    </xdr:to>
    <xdr:sp macro="" textlink="">
      <xdr:nvSpPr>
        <xdr:cNvPr id="33" name="Rectangle 66">
          <a:extLst>
            <a:ext uri="{FF2B5EF4-FFF2-40B4-BE49-F238E27FC236}">
              <a16:creationId xmlns:a16="http://schemas.microsoft.com/office/drawing/2014/main" id="{00000000-0008-0000-0200-000021000000}"/>
            </a:ext>
          </a:extLst>
        </xdr:cNvPr>
        <xdr:cNvSpPr>
          <a:spLocks noChangeArrowheads="1"/>
        </xdr:cNvSpPr>
      </xdr:nvSpPr>
      <xdr:spPr bwMode="auto">
        <a:xfrm>
          <a:off x="2000250" y="5695950"/>
          <a:ext cx="268621"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5</a:t>
          </a:r>
        </a:p>
      </xdr:txBody>
    </xdr:sp>
    <xdr:clientData/>
  </xdr:twoCellAnchor>
  <mc:AlternateContent xmlns:mc="http://schemas.openxmlformats.org/markup-compatibility/2006">
    <mc:Choice xmlns:a14="http://schemas.microsoft.com/office/drawing/2010/main" Requires="a14">
      <xdr:twoCellAnchor editAs="oneCell">
        <xdr:from>
          <xdr:col>6</xdr:col>
          <xdr:colOff>161925</xdr:colOff>
          <xdr:row>39</xdr:row>
          <xdr:rowOff>133350</xdr:rowOff>
        </xdr:from>
        <xdr:to>
          <xdr:col>7</xdr:col>
          <xdr:colOff>95250</xdr:colOff>
          <xdr:row>41</xdr:row>
          <xdr:rowOff>28575</xdr:rowOff>
        </xdr:to>
        <xdr:sp macro="" textlink="">
          <xdr:nvSpPr>
            <xdr:cNvPr id="1819676" name="Check Box 28" hidden="1">
              <a:extLst>
                <a:ext uri="{63B3BB69-23CF-44E3-9099-C40C66FF867C}">
                  <a14:compatExt spid="_x0000_s1819676"/>
                </a:ext>
                <a:ext uri="{FF2B5EF4-FFF2-40B4-BE49-F238E27FC236}">
                  <a16:creationId xmlns:a16="http://schemas.microsoft.com/office/drawing/2014/main" id="{00000000-0008-0000-0300-00001C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145415</xdr:colOff>
      <xdr:row>39</xdr:row>
      <xdr:rowOff>19050</xdr:rowOff>
    </xdr:from>
    <xdr:to>
      <xdr:col>7</xdr:col>
      <xdr:colOff>38080</xdr:colOff>
      <xdr:row>40</xdr:row>
      <xdr:rowOff>3307</xdr:rowOff>
    </xdr:to>
    <xdr:sp macro="" textlink="">
      <xdr:nvSpPr>
        <xdr:cNvPr id="35" name="Rectangle 68">
          <a:extLst>
            <a:ext uri="{FF2B5EF4-FFF2-40B4-BE49-F238E27FC236}">
              <a16:creationId xmlns:a16="http://schemas.microsoft.com/office/drawing/2014/main" id="{00000000-0008-0000-0200-000023000000}"/>
            </a:ext>
          </a:extLst>
        </xdr:cNvPr>
        <xdr:cNvSpPr>
          <a:spLocks noChangeArrowheads="1"/>
        </xdr:cNvSpPr>
      </xdr:nvSpPr>
      <xdr:spPr bwMode="auto">
        <a:xfrm>
          <a:off x="2207895" y="5695950"/>
          <a:ext cx="268621"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6</a:t>
          </a:r>
        </a:p>
      </xdr:txBody>
    </xdr:sp>
    <xdr:clientData/>
  </xdr:twoCellAnchor>
  <mc:AlternateContent xmlns:mc="http://schemas.openxmlformats.org/markup-compatibility/2006">
    <mc:Choice xmlns:a14="http://schemas.microsoft.com/office/drawing/2010/main" Requires="a14">
      <xdr:twoCellAnchor editAs="oneCell">
        <xdr:from>
          <xdr:col>6</xdr:col>
          <xdr:colOff>361950</xdr:colOff>
          <xdr:row>39</xdr:row>
          <xdr:rowOff>133350</xdr:rowOff>
        </xdr:from>
        <xdr:to>
          <xdr:col>7</xdr:col>
          <xdr:colOff>295275</xdr:colOff>
          <xdr:row>41</xdr:row>
          <xdr:rowOff>28575</xdr:rowOff>
        </xdr:to>
        <xdr:sp macro="" textlink="">
          <xdr:nvSpPr>
            <xdr:cNvPr id="1819677" name="Check Box 29" hidden="1">
              <a:extLst>
                <a:ext uri="{63B3BB69-23CF-44E3-9099-C40C66FF867C}">
                  <a14:compatExt spid="_x0000_s1819677"/>
                </a:ext>
                <a:ext uri="{FF2B5EF4-FFF2-40B4-BE49-F238E27FC236}">
                  <a16:creationId xmlns:a16="http://schemas.microsoft.com/office/drawing/2014/main" id="{00000000-0008-0000-0300-00001D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351790</xdr:colOff>
      <xdr:row>39</xdr:row>
      <xdr:rowOff>19050</xdr:rowOff>
    </xdr:from>
    <xdr:to>
      <xdr:col>7</xdr:col>
      <xdr:colOff>250764</xdr:colOff>
      <xdr:row>40</xdr:row>
      <xdr:rowOff>3307</xdr:rowOff>
    </xdr:to>
    <xdr:sp macro="" textlink="">
      <xdr:nvSpPr>
        <xdr:cNvPr id="37" name="Rectangle 70">
          <a:extLst>
            <a:ext uri="{FF2B5EF4-FFF2-40B4-BE49-F238E27FC236}">
              <a16:creationId xmlns:a16="http://schemas.microsoft.com/office/drawing/2014/main" id="{00000000-0008-0000-0200-000025000000}"/>
            </a:ext>
          </a:extLst>
        </xdr:cNvPr>
        <xdr:cNvSpPr>
          <a:spLocks noChangeArrowheads="1"/>
        </xdr:cNvSpPr>
      </xdr:nvSpPr>
      <xdr:spPr bwMode="auto">
        <a:xfrm>
          <a:off x="2417445" y="5695950"/>
          <a:ext cx="268621"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7</a:t>
          </a:r>
        </a:p>
      </xdr:txBody>
    </xdr:sp>
    <xdr:clientData/>
  </xdr:twoCellAnchor>
  <mc:AlternateContent xmlns:mc="http://schemas.openxmlformats.org/markup-compatibility/2006">
    <mc:Choice xmlns:a14="http://schemas.microsoft.com/office/drawing/2010/main" Requires="a14">
      <xdr:twoCellAnchor editAs="oneCell">
        <xdr:from>
          <xdr:col>7</xdr:col>
          <xdr:colOff>190500</xdr:colOff>
          <xdr:row>39</xdr:row>
          <xdr:rowOff>133350</xdr:rowOff>
        </xdr:from>
        <xdr:to>
          <xdr:col>8</xdr:col>
          <xdr:colOff>123825</xdr:colOff>
          <xdr:row>41</xdr:row>
          <xdr:rowOff>28575</xdr:rowOff>
        </xdr:to>
        <xdr:sp macro="" textlink="">
          <xdr:nvSpPr>
            <xdr:cNvPr id="1819678" name="Check Box 30" hidden="1">
              <a:extLst>
                <a:ext uri="{63B3BB69-23CF-44E3-9099-C40C66FF867C}">
                  <a14:compatExt spid="_x0000_s1819678"/>
                </a:ext>
                <a:ext uri="{FF2B5EF4-FFF2-40B4-BE49-F238E27FC236}">
                  <a16:creationId xmlns:a16="http://schemas.microsoft.com/office/drawing/2014/main" id="{00000000-0008-0000-0300-00001E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177800</xdr:colOff>
      <xdr:row>39</xdr:row>
      <xdr:rowOff>19050</xdr:rowOff>
    </xdr:from>
    <xdr:to>
      <xdr:col>8</xdr:col>
      <xdr:colOff>66797</xdr:colOff>
      <xdr:row>40</xdr:row>
      <xdr:rowOff>3307</xdr:rowOff>
    </xdr:to>
    <xdr:sp macro="" textlink="">
      <xdr:nvSpPr>
        <xdr:cNvPr id="39" name="Rectangle 72">
          <a:extLst>
            <a:ext uri="{FF2B5EF4-FFF2-40B4-BE49-F238E27FC236}">
              <a16:creationId xmlns:a16="http://schemas.microsoft.com/office/drawing/2014/main" id="{00000000-0008-0000-0200-000027000000}"/>
            </a:ext>
          </a:extLst>
        </xdr:cNvPr>
        <xdr:cNvSpPr>
          <a:spLocks noChangeArrowheads="1"/>
        </xdr:cNvSpPr>
      </xdr:nvSpPr>
      <xdr:spPr bwMode="auto">
        <a:xfrm>
          <a:off x="2619375" y="5695950"/>
          <a:ext cx="274320"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8</a:t>
          </a:r>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39</xdr:row>
          <xdr:rowOff>133350</xdr:rowOff>
        </xdr:from>
        <xdr:to>
          <xdr:col>8</xdr:col>
          <xdr:colOff>314325</xdr:colOff>
          <xdr:row>41</xdr:row>
          <xdr:rowOff>28575</xdr:rowOff>
        </xdr:to>
        <xdr:sp macro="" textlink="">
          <xdr:nvSpPr>
            <xdr:cNvPr id="1819679" name="Check Box 31" hidden="1">
              <a:extLst>
                <a:ext uri="{63B3BB69-23CF-44E3-9099-C40C66FF867C}">
                  <a14:compatExt spid="_x0000_s1819679"/>
                </a:ext>
                <a:ext uri="{FF2B5EF4-FFF2-40B4-BE49-F238E27FC236}">
                  <a16:creationId xmlns:a16="http://schemas.microsoft.com/office/drawing/2014/main" id="{00000000-0008-0000-0300-00001F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xdr:col>
      <xdr:colOff>9525</xdr:colOff>
      <xdr:row>39</xdr:row>
      <xdr:rowOff>19050</xdr:rowOff>
    </xdr:from>
    <xdr:to>
      <xdr:col>8</xdr:col>
      <xdr:colOff>256597</xdr:colOff>
      <xdr:row>40</xdr:row>
      <xdr:rowOff>3307</xdr:rowOff>
    </xdr:to>
    <xdr:sp macro="" textlink="">
      <xdr:nvSpPr>
        <xdr:cNvPr id="41" name="Rectangle 74">
          <a:extLst>
            <a:ext uri="{FF2B5EF4-FFF2-40B4-BE49-F238E27FC236}">
              <a16:creationId xmlns:a16="http://schemas.microsoft.com/office/drawing/2014/main" id="{00000000-0008-0000-0200-000029000000}"/>
            </a:ext>
          </a:extLst>
        </xdr:cNvPr>
        <xdr:cNvSpPr>
          <a:spLocks noChangeArrowheads="1"/>
        </xdr:cNvSpPr>
      </xdr:nvSpPr>
      <xdr:spPr bwMode="auto">
        <a:xfrm>
          <a:off x="2836545" y="5695950"/>
          <a:ext cx="262792"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9</a:t>
          </a:r>
        </a:p>
      </xdr:txBody>
    </xdr:sp>
    <xdr:clientData/>
  </xdr:twoCellAnchor>
  <mc:AlternateContent xmlns:mc="http://schemas.openxmlformats.org/markup-compatibility/2006">
    <mc:Choice xmlns:a14="http://schemas.microsoft.com/office/drawing/2010/main" Requires="a14">
      <xdr:twoCellAnchor editAs="oneCell">
        <xdr:from>
          <xdr:col>8</xdr:col>
          <xdr:colOff>219075</xdr:colOff>
          <xdr:row>39</xdr:row>
          <xdr:rowOff>133350</xdr:rowOff>
        </xdr:from>
        <xdr:to>
          <xdr:col>9</xdr:col>
          <xdr:colOff>152400</xdr:colOff>
          <xdr:row>41</xdr:row>
          <xdr:rowOff>28575</xdr:rowOff>
        </xdr:to>
        <xdr:sp macro="" textlink="">
          <xdr:nvSpPr>
            <xdr:cNvPr id="1819680" name="Check Box 32" hidden="1">
              <a:extLst>
                <a:ext uri="{63B3BB69-23CF-44E3-9099-C40C66FF867C}">
                  <a14:compatExt spid="_x0000_s1819680"/>
                </a:ext>
                <a:ext uri="{FF2B5EF4-FFF2-40B4-BE49-F238E27FC236}">
                  <a16:creationId xmlns:a16="http://schemas.microsoft.com/office/drawing/2014/main" id="{00000000-0008-0000-0300-000020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xdr:col>
      <xdr:colOff>206375</xdr:colOff>
      <xdr:row>39</xdr:row>
      <xdr:rowOff>19050</xdr:rowOff>
    </xdr:from>
    <xdr:to>
      <xdr:col>9</xdr:col>
      <xdr:colOff>92075</xdr:colOff>
      <xdr:row>40</xdr:row>
      <xdr:rowOff>3307</xdr:rowOff>
    </xdr:to>
    <xdr:sp macro="" textlink="">
      <xdr:nvSpPr>
        <xdr:cNvPr id="43" name="Rectangle 76">
          <a:extLst>
            <a:ext uri="{FF2B5EF4-FFF2-40B4-BE49-F238E27FC236}">
              <a16:creationId xmlns:a16="http://schemas.microsoft.com/office/drawing/2014/main" id="{00000000-0008-0000-0200-00002B000000}"/>
            </a:ext>
          </a:extLst>
        </xdr:cNvPr>
        <xdr:cNvSpPr>
          <a:spLocks noChangeArrowheads="1"/>
        </xdr:cNvSpPr>
      </xdr:nvSpPr>
      <xdr:spPr bwMode="auto">
        <a:xfrm>
          <a:off x="3036570" y="5695950"/>
          <a:ext cx="274320"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10</a:t>
          </a:r>
        </a:p>
      </xdr:txBody>
    </xdr:sp>
    <xdr:clientData/>
  </xdr:twoCellAnchor>
  <mc:AlternateContent xmlns:mc="http://schemas.openxmlformats.org/markup-compatibility/2006">
    <mc:Choice xmlns:a14="http://schemas.microsoft.com/office/drawing/2010/main" Requires="a14">
      <xdr:twoCellAnchor editAs="oneCell">
        <xdr:from>
          <xdr:col>9</xdr:col>
          <xdr:colOff>47625</xdr:colOff>
          <xdr:row>39</xdr:row>
          <xdr:rowOff>133350</xdr:rowOff>
        </xdr:from>
        <xdr:to>
          <xdr:col>9</xdr:col>
          <xdr:colOff>352425</xdr:colOff>
          <xdr:row>41</xdr:row>
          <xdr:rowOff>28575</xdr:rowOff>
        </xdr:to>
        <xdr:sp macro="" textlink="">
          <xdr:nvSpPr>
            <xdr:cNvPr id="1819681" name="Check Box 33" hidden="1">
              <a:extLst>
                <a:ext uri="{63B3BB69-23CF-44E3-9099-C40C66FF867C}">
                  <a14:compatExt spid="_x0000_s1819681"/>
                </a:ext>
                <a:ext uri="{FF2B5EF4-FFF2-40B4-BE49-F238E27FC236}">
                  <a16:creationId xmlns:a16="http://schemas.microsoft.com/office/drawing/2014/main" id="{00000000-0008-0000-0300-000021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47625</xdr:colOff>
      <xdr:row>39</xdr:row>
      <xdr:rowOff>19050</xdr:rowOff>
    </xdr:from>
    <xdr:to>
      <xdr:col>9</xdr:col>
      <xdr:colOff>294697</xdr:colOff>
      <xdr:row>40</xdr:row>
      <xdr:rowOff>3307</xdr:rowOff>
    </xdr:to>
    <xdr:sp macro="" textlink="">
      <xdr:nvSpPr>
        <xdr:cNvPr id="45" name="Rectangle 78">
          <a:extLst>
            <a:ext uri="{FF2B5EF4-FFF2-40B4-BE49-F238E27FC236}">
              <a16:creationId xmlns:a16="http://schemas.microsoft.com/office/drawing/2014/main" id="{00000000-0008-0000-0200-00002D000000}"/>
            </a:ext>
          </a:extLst>
        </xdr:cNvPr>
        <xdr:cNvSpPr>
          <a:spLocks noChangeArrowheads="1"/>
        </xdr:cNvSpPr>
      </xdr:nvSpPr>
      <xdr:spPr bwMode="auto">
        <a:xfrm>
          <a:off x="3263265" y="5695950"/>
          <a:ext cx="262792"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11</a:t>
          </a:r>
        </a:p>
      </xdr:txBody>
    </xdr:sp>
    <xdr:clientData/>
  </xdr:twoCellAnchor>
  <mc:AlternateContent xmlns:mc="http://schemas.openxmlformats.org/markup-compatibility/2006">
    <mc:Choice xmlns:a14="http://schemas.microsoft.com/office/drawing/2010/main" Requires="a14">
      <xdr:twoCellAnchor editAs="oneCell">
        <xdr:from>
          <xdr:col>9</xdr:col>
          <xdr:colOff>247650</xdr:colOff>
          <xdr:row>39</xdr:row>
          <xdr:rowOff>133350</xdr:rowOff>
        </xdr:from>
        <xdr:to>
          <xdr:col>10</xdr:col>
          <xdr:colOff>180975</xdr:colOff>
          <xdr:row>41</xdr:row>
          <xdr:rowOff>28575</xdr:rowOff>
        </xdr:to>
        <xdr:sp macro="" textlink="">
          <xdr:nvSpPr>
            <xdr:cNvPr id="1819682" name="Check Box 34" hidden="1">
              <a:extLst>
                <a:ext uri="{63B3BB69-23CF-44E3-9099-C40C66FF867C}">
                  <a14:compatExt spid="_x0000_s1819682"/>
                </a:ext>
                <a:ext uri="{FF2B5EF4-FFF2-40B4-BE49-F238E27FC236}">
                  <a16:creationId xmlns:a16="http://schemas.microsoft.com/office/drawing/2014/main" id="{00000000-0008-0000-0300-000022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227965</xdr:colOff>
      <xdr:row>39</xdr:row>
      <xdr:rowOff>19050</xdr:rowOff>
    </xdr:from>
    <xdr:to>
      <xdr:col>10</xdr:col>
      <xdr:colOff>111196</xdr:colOff>
      <xdr:row>40</xdr:row>
      <xdr:rowOff>3307</xdr:rowOff>
    </xdr:to>
    <xdr:sp macro="" textlink="">
      <xdr:nvSpPr>
        <xdr:cNvPr id="47" name="Rectangle 80">
          <a:extLst>
            <a:ext uri="{FF2B5EF4-FFF2-40B4-BE49-F238E27FC236}">
              <a16:creationId xmlns:a16="http://schemas.microsoft.com/office/drawing/2014/main" id="{00000000-0008-0000-0200-00002F000000}"/>
            </a:ext>
          </a:extLst>
        </xdr:cNvPr>
        <xdr:cNvSpPr>
          <a:spLocks noChangeArrowheads="1"/>
        </xdr:cNvSpPr>
      </xdr:nvSpPr>
      <xdr:spPr bwMode="auto">
        <a:xfrm>
          <a:off x="3449955" y="5695950"/>
          <a:ext cx="268621"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12</a:t>
          </a:r>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39</xdr:row>
          <xdr:rowOff>133350</xdr:rowOff>
        </xdr:from>
        <xdr:to>
          <xdr:col>11</xdr:col>
          <xdr:colOff>19050</xdr:colOff>
          <xdr:row>41</xdr:row>
          <xdr:rowOff>28575</xdr:rowOff>
        </xdr:to>
        <xdr:sp macro="" textlink="">
          <xdr:nvSpPr>
            <xdr:cNvPr id="1819683" name="Check Box 35" hidden="1">
              <a:extLst>
                <a:ext uri="{63B3BB69-23CF-44E3-9099-C40C66FF867C}">
                  <a14:compatExt spid="_x0000_s1819683"/>
                </a:ext>
                <a:ext uri="{FF2B5EF4-FFF2-40B4-BE49-F238E27FC236}">
                  <a16:creationId xmlns:a16="http://schemas.microsoft.com/office/drawing/2014/main" id="{00000000-0008-0000-0300-000023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73025</xdr:colOff>
      <xdr:row>39</xdr:row>
      <xdr:rowOff>19050</xdr:rowOff>
    </xdr:from>
    <xdr:to>
      <xdr:col>10</xdr:col>
      <xdr:colOff>332256</xdr:colOff>
      <xdr:row>40</xdr:row>
      <xdr:rowOff>3307</xdr:rowOff>
    </xdr:to>
    <xdr:sp macro="" textlink="">
      <xdr:nvSpPr>
        <xdr:cNvPr id="49" name="Rectangle 82">
          <a:extLst>
            <a:ext uri="{FF2B5EF4-FFF2-40B4-BE49-F238E27FC236}">
              <a16:creationId xmlns:a16="http://schemas.microsoft.com/office/drawing/2014/main" id="{00000000-0008-0000-0200-000031000000}"/>
            </a:ext>
          </a:extLst>
        </xdr:cNvPr>
        <xdr:cNvSpPr>
          <a:spLocks noChangeArrowheads="1"/>
        </xdr:cNvSpPr>
      </xdr:nvSpPr>
      <xdr:spPr bwMode="auto">
        <a:xfrm>
          <a:off x="3680460" y="5695950"/>
          <a:ext cx="262792"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13</a:t>
          </a:r>
        </a:p>
      </xdr:txBody>
    </xdr:sp>
    <xdr:clientData/>
  </xdr:twoCellAnchor>
  <mc:AlternateContent xmlns:mc="http://schemas.openxmlformats.org/markup-compatibility/2006">
    <mc:Choice xmlns:a14="http://schemas.microsoft.com/office/drawing/2010/main" Requires="a14">
      <xdr:twoCellAnchor editAs="oneCell">
        <xdr:from>
          <xdr:col>10</xdr:col>
          <xdr:colOff>285750</xdr:colOff>
          <xdr:row>39</xdr:row>
          <xdr:rowOff>133350</xdr:rowOff>
        </xdr:from>
        <xdr:to>
          <xdr:col>11</xdr:col>
          <xdr:colOff>219075</xdr:colOff>
          <xdr:row>41</xdr:row>
          <xdr:rowOff>28575</xdr:rowOff>
        </xdr:to>
        <xdr:sp macro="" textlink="">
          <xdr:nvSpPr>
            <xdr:cNvPr id="1819684" name="Check Box 36" hidden="1">
              <a:extLst>
                <a:ext uri="{63B3BB69-23CF-44E3-9099-C40C66FF867C}">
                  <a14:compatExt spid="_x0000_s1819684"/>
                </a:ext>
                <a:ext uri="{FF2B5EF4-FFF2-40B4-BE49-F238E27FC236}">
                  <a16:creationId xmlns:a16="http://schemas.microsoft.com/office/drawing/2014/main" id="{00000000-0008-0000-0300-000024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269240</xdr:colOff>
      <xdr:row>39</xdr:row>
      <xdr:rowOff>19050</xdr:rowOff>
    </xdr:from>
    <xdr:to>
      <xdr:col>11</xdr:col>
      <xdr:colOff>164465</xdr:colOff>
      <xdr:row>40</xdr:row>
      <xdr:rowOff>3307</xdr:rowOff>
    </xdr:to>
    <xdr:sp macro="" textlink="">
      <xdr:nvSpPr>
        <xdr:cNvPr id="51" name="Rectangle 84">
          <a:extLst>
            <a:ext uri="{FF2B5EF4-FFF2-40B4-BE49-F238E27FC236}">
              <a16:creationId xmlns:a16="http://schemas.microsoft.com/office/drawing/2014/main" id="{00000000-0008-0000-0200-000033000000}"/>
            </a:ext>
          </a:extLst>
        </xdr:cNvPr>
        <xdr:cNvSpPr>
          <a:spLocks noChangeArrowheads="1"/>
        </xdr:cNvSpPr>
      </xdr:nvSpPr>
      <xdr:spPr bwMode="auto">
        <a:xfrm>
          <a:off x="3886200" y="5695950"/>
          <a:ext cx="274320"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14</a:t>
          </a:r>
        </a:p>
      </xdr:txBody>
    </xdr:sp>
    <xdr:clientData/>
  </xdr:twoCellAnchor>
  <mc:AlternateContent xmlns:mc="http://schemas.openxmlformats.org/markup-compatibility/2006">
    <mc:Choice xmlns:a14="http://schemas.microsoft.com/office/drawing/2010/main" Requires="a14">
      <xdr:twoCellAnchor editAs="oneCell">
        <xdr:from>
          <xdr:col>11</xdr:col>
          <xdr:colOff>114300</xdr:colOff>
          <xdr:row>39</xdr:row>
          <xdr:rowOff>133350</xdr:rowOff>
        </xdr:from>
        <xdr:to>
          <xdr:col>12</xdr:col>
          <xdr:colOff>47625</xdr:colOff>
          <xdr:row>41</xdr:row>
          <xdr:rowOff>28575</xdr:rowOff>
        </xdr:to>
        <xdr:sp macro="" textlink="">
          <xdr:nvSpPr>
            <xdr:cNvPr id="1819685" name="Check Box 37" hidden="1">
              <a:extLst>
                <a:ext uri="{63B3BB69-23CF-44E3-9099-C40C66FF867C}">
                  <a14:compatExt spid="_x0000_s1819685"/>
                </a:ext>
                <a:ext uri="{FF2B5EF4-FFF2-40B4-BE49-F238E27FC236}">
                  <a16:creationId xmlns:a16="http://schemas.microsoft.com/office/drawing/2014/main" id="{00000000-0008-0000-0300-000025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104775</xdr:colOff>
      <xdr:row>39</xdr:row>
      <xdr:rowOff>19050</xdr:rowOff>
    </xdr:from>
    <xdr:to>
      <xdr:col>11</xdr:col>
      <xdr:colOff>351170</xdr:colOff>
      <xdr:row>40</xdr:row>
      <xdr:rowOff>3307</xdr:rowOff>
    </xdr:to>
    <xdr:sp macro="" textlink="">
      <xdr:nvSpPr>
        <xdr:cNvPr id="53" name="Rectangle 86">
          <a:extLst>
            <a:ext uri="{FF2B5EF4-FFF2-40B4-BE49-F238E27FC236}">
              <a16:creationId xmlns:a16="http://schemas.microsoft.com/office/drawing/2014/main" id="{00000000-0008-0000-0200-000035000000}"/>
            </a:ext>
          </a:extLst>
        </xdr:cNvPr>
        <xdr:cNvSpPr>
          <a:spLocks noChangeArrowheads="1"/>
        </xdr:cNvSpPr>
      </xdr:nvSpPr>
      <xdr:spPr bwMode="auto">
        <a:xfrm>
          <a:off x="4097655" y="5695950"/>
          <a:ext cx="262432"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15</a:t>
          </a:r>
        </a:p>
      </xdr:txBody>
    </xdr:sp>
    <xdr:clientData/>
  </xdr:twoCellAnchor>
  <mc:AlternateContent xmlns:mc="http://schemas.openxmlformats.org/markup-compatibility/2006">
    <mc:Choice xmlns:a14="http://schemas.microsoft.com/office/drawing/2010/main" Requires="a14">
      <xdr:twoCellAnchor editAs="oneCell">
        <xdr:from>
          <xdr:col>11</xdr:col>
          <xdr:colOff>323850</xdr:colOff>
          <xdr:row>39</xdr:row>
          <xdr:rowOff>133350</xdr:rowOff>
        </xdr:from>
        <xdr:to>
          <xdr:col>12</xdr:col>
          <xdr:colOff>257175</xdr:colOff>
          <xdr:row>41</xdr:row>
          <xdr:rowOff>28575</xdr:rowOff>
        </xdr:to>
        <xdr:sp macro="" textlink="">
          <xdr:nvSpPr>
            <xdr:cNvPr id="1819686" name="Check Box 38" hidden="1">
              <a:extLst>
                <a:ext uri="{63B3BB69-23CF-44E3-9099-C40C66FF867C}">
                  <a14:compatExt spid="_x0000_s1819686"/>
                </a:ext>
                <a:ext uri="{FF2B5EF4-FFF2-40B4-BE49-F238E27FC236}">
                  <a16:creationId xmlns:a16="http://schemas.microsoft.com/office/drawing/2014/main" id="{00000000-0008-0000-0300-000026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294640</xdr:colOff>
      <xdr:row>39</xdr:row>
      <xdr:rowOff>19050</xdr:rowOff>
    </xdr:from>
    <xdr:to>
      <xdr:col>12</xdr:col>
      <xdr:colOff>183637</xdr:colOff>
      <xdr:row>40</xdr:row>
      <xdr:rowOff>3307</xdr:rowOff>
    </xdr:to>
    <xdr:sp macro="" textlink="">
      <xdr:nvSpPr>
        <xdr:cNvPr id="55" name="Rectangle 88">
          <a:extLst>
            <a:ext uri="{FF2B5EF4-FFF2-40B4-BE49-F238E27FC236}">
              <a16:creationId xmlns:a16="http://schemas.microsoft.com/office/drawing/2014/main" id="{00000000-0008-0000-0200-000037000000}"/>
            </a:ext>
          </a:extLst>
        </xdr:cNvPr>
        <xdr:cNvSpPr>
          <a:spLocks noChangeArrowheads="1"/>
        </xdr:cNvSpPr>
      </xdr:nvSpPr>
      <xdr:spPr bwMode="auto">
        <a:xfrm>
          <a:off x="4303395" y="5695950"/>
          <a:ext cx="274320"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16</a:t>
          </a:r>
        </a:p>
      </xdr:txBody>
    </xdr:sp>
    <xdr:clientData/>
  </xdr:twoCellAnchor>
  <mc:AlternateContent xmlns:mc="http://schemas.openxmlformats.org/markup-compatibility/2006">
    <mc:Choice xmlns:a14="http://schemas.microsoft.com/office/drawing/2010/main" Requires="a14">
      <xdr:twoCellAnchor editAs="oneCell">
        <xdr:from>
          <xdr:col>12</xdr:col>
          <xdr:colOff>152400</xdr:colOff>
          <xdr:row>39</xdr:row>
          <xdr:rowOff>133350</xdr:rowOff>
        </xdr:from>
        <xdr:to>
          <xdr:col>13</xdr:col>
          <xdr:colOff>85725</xdr:colOff>
          <xdr:row>41</xdr:row>
          <xdr:rowOff>28575</xdr:rowOff>
        </xdr:to>
        <xdr:sp macro="" textlink="">
          <xdr:nvSpPr>
            <xdr:cNvPr id="1819687" name="Check Box 39" hidden="1">
              <a:extLst>
                <a:ext uri="{63B3BB69-23CF-44E3-9099-C40C66FF867C}">
                  <a14:compatExt spid="_x0000_s1819687"/>
                </a:ext>
                <a:ext uri="{FF2B5EF4-FFF2-40B4-BE49-F238E27FC236}">
                  <a16:creationId xmlns:a16="http://schemas.microsoft.com/office/drawing/2014/main" id="{00000000-0008-0000-0300-000027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130175</xdr:colOff>
      <xdr:row>39</xdr:row>
      <xdr:rowOff>19050</xdr:rowOff>
    </xdr:from>
    <xdr:to>
      <xdr:col>13</xdr:col>
      <xdr:colOff>19172</xdr:colOff>
      <xdr:row>40</xdr:row>
      <xdr:rowOff>3307</xdr:rowOff>
    </xdr:to>
    <xdr:sp macro="" textlink="">
      <xdr:nvSpPr>
        <xdr:cNvPr id="57" name="Rectangle 90">
          <a:extLst>
            <a:ext uri="{FF2B5EF4-FFF2-40B4-BE49-F238E27FC236}">
              <a16:creationId xmlns:a16="http://schemas.microsoft.com/office/drawing/2014/main" id="{00000000-0008-0000-0200-000039000000}"/>
            </a:ext>
          </a:extLst>
        </xdr:cNvPr>
        <xdr:cNvSpPr>
          <a:spLocks noChangeArrowheads="1"/>
        </xdr:cNvSpPr>
      </xdr:nvSpPr>
      <xdr:spPr bwMode="auto">
        <a:xfrm>
          <a:off x="4514850" y="5695950"/>
          <a:ext cx="274320"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17</a:t>
          </a:r>
        </a:p>
      </xdr:txBody>
    </xdr:sp>
    <xdr:clientData/>
  </xdr:twoCellAnchor>
  <mc:AlternateContent xmlns:mc="http://schemas.openxmlformats.org/markup-compatibility/2006">
    <mc:Choice xmlns:a14="http://schemas.microsoft.com/office/drawing/2010/main" Requires="a14">
      <xdr:twoCellAnchor editAs="oneCell">
        <xdr:from>
          <xdr:col>12</xdr:col>
          <xdr:colOff>342900</xdr:colOff>
          <xdr:row>39</xdr:row>
          <xdr:rowOff>133350</xdr:rowOff>
        </xdr:from>
        <xdr:to>
          <xdr:col>13</xdr:col>
          <xdr:colOff>276225</xdr:colOff>
          <xdr:row>41</xdr:row>
          <xdr:rowOff>28575</xdr:rowOff>
        </xdr:to>
        <xdr:sp macro="" textlink="">
          <xdr:nvSpPr>
            <xdr:cNvPr id="1819688" name="Check Box 40" hidden="1">
              <a:extLst>
                <a:ext uri="{63B3BB69-23CF-44E3-9099-C40C66FF867C}">
                  <a14:compatExt spid="_x0000_s1819688"/>
                </a:ext>
                <a:ext uri="{FF2B5EF4-FFF2-40B4-BE49-F238E27FC236}">
                  <a16:creationId xmlns:a16="http://schemas.microsoft.com/office/drawing/2014/main" id="{00000000-0008-0000-0300-000028C41B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12</xdr:col>
      <xdr:colOff>332740</xdr:colOff>
      <xdr:row>39</xdr:row>
      <xdr:rowOff>19050</xdr:rowOff>
    </xdr:from>
    <xdr:to>
      <xdr:col>13</xdr:col>
      <xdr:colOff>215971</xdr:colOff>
      <xdr:row>40</xdr:row>
      <xdr:rowOff>3307</xdr:rowOff>
    </xdr:to>
    <xdr:sp macro="" textlink="">
      <xdr:nvSpPr>
        <xdr:cNvPr id="59" name="Rectangle 92">
          <a:extLst>
            <a:ext uri="{FF2B5EF4-FFF2-40B4-BE49-F238E27FC236}">
              <a16:creationId xmlns:a16="http://schemas.microsoft.com/office/drawing/2014/main" id="{00000000-0008-0000-0200-00003B000000}"/>
            </a:ext>
          </a:extLst>
        </xdr:cNvPr>
        <xdr:cNvSpPr>
          <a:spLocks noChangeArrowheads="1"/>
        </xdr:cNvSpPr>
      </xdr:nvSpPr>
      <xdr:spPr bwMode="auto">
        <a:xfrm>
          <a:off x="4720590" y="5695950"/>
          <a:ext cx="268621" cy="15811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18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6</xdr:row>
      <xdr:rowOff>28575</xdr:rowOff>
    </xdr:from>
    <xdr:to>
      <xdr:col>2</xdr:col>
      <xdr:colOff>219075</xdr:colOff>
      <xdr:row>6</xdr:row>
      <xdr:rowOff>142875</xdr:rowOff>
    </xdr:to>
    <xdr:sp macro="" textlink="">
      <xdr:nvSpPr>
        <xdr:cNvPr id="2539301" name="Oval 2">
          <a:extLst>
            <a:ext uri="{FF2B5EF4-FFF2-40B4-BE49-F238E27FC236}">
              <a16:creationId xmlns:a16="http://schemas.microsoft.com/office/drawing/2014/main" id="{00000000-0008-0000-0A00-000025BF2600}"/>
            </a:ext>
          </a:extLst>
        </xdr:cNvPr>
        <xdr:cNvSpPr>
          <a:spLocks noChangeArrowheads="1"/>
        </xdr:cNvSpPr>
      </xdr:nvSpPr>
      <xdr:spPr bwMode="auto">
        <a:xfrm>
          <a:off x="847725" y="2085975"/>
          <a:ext cx="123825" cy="114300"/>
        </a:xfrm>
        <a:prstGeom prst="ellips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4</xdr:col>
      <xdr:colOff>57150</xdr:colOff>
      <xdr:row>6</xdr:row>
      <xdr:rowOff>28575</xdr:rowOff>
    </xdr:from>
    <xdr:to>
      <xdr:col>4</xdr:col>
      <xdr:colOff>228600</xdr:colOff>
      <xdr:row>7</xdr:row>
      <xdr:rowOff>9525</xdr:rowOff>
    </xdr:to>
    <xdr:sp macro="" textlink="">
      <xdr:nvSpPr>
        <xdr:cNvPr id="2539302" name="Drawing 10">
          <a:extLst>
            <a:ext uri="{FF2B5EF4-FFF2-40B4-BE49-F238E27FC236}">
              <a16:creationId xmlns:a16="http://schemas.microsoft.com/office/drawing/2014/main" id="{00000000-0008-0000-0A00-000026BF2600}"/>
            </a:ext>
          </a:extLst>
        </xdr:cNvPr>
        <xdr:cNvSpPr>
          <a:spLocks/>
        </xdr:cNvSpPr>
      </xdr:nvSpPr>
      <xdr:spPr bwMode="auto">
        <a:xfrm flipV="1">
          <a:off x="1438275" y="2085975"/>
          <a:ext cx="171450" cy="142875"/>
        </a:xfrm>
        <a:custGeom>
          <a:avLst/>
          <a:gdLst>
            <a:gd name="T0" fmla="*/ 2147483646 w 16384"/>
            <a:gd name="T1" fmla="*/ 0 h 16384"/>
            <a:gd name="T2" fmla="*/ 0 w 16384"/>
            <a:gd name="T3" fmla="*/ 2147483646 h 16384"/>
            <a:gd name="T4" fmla="*/ 2147483646 w 16384"/>
            <a:gd name="T5" fmla="*/ 2147483646 h 16384"/>
            <a:gd name="T6" fmla="*/ 2147483646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8192" y="0"/>
              </a:moveTo>
              <a:lnTo>
                <a:pt x="0" y="16384"/>
              </a:lnTo>
              <a:lnTo>
                <a:pt x="16384" y="16384"/>
              </a:lnTo>
              <a:lnTo>
                <a:pt x="8192" y="0"/>
              </a:lnTo>
              <a:close/>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5</xdr:col>
      <xdr:colOff>76200</xdr:colOff>
      <xdr:row>6</xdr:row>
      <xdr:rowOff>19050</xdr:rowOff>
    </xdr:from>
    <xdr:to>
      <xdr:col>5</xdr:col>
      <xdr:colOff>209550</xdr:colOff>
      <xdr:row>6</xdr:row>
      <xdr:rowOff>142875</xdr:rowOff>
    </xdr:to>
    <xdr:sp macro="" textlink="">
      <xdr:nvSpPr>
        <xdr:cNvPr id="2539303" name="Rectangle 7">
          <a:extLst>
            <a:ext uri="{FF2B5EF4-FFF2-40B4-BE49-F238E27FC236}">
              <a16:creationId xmlns:a16="http://schemas.microsoft.com/office/drawing/2014/main" id="{00000000-0008-0000-0A00-000027BF2600}"/>
            </a:ext>
          </a:extLst>
        </xdr:cNvPr>
        <xdr:cNvSpPr>
          <a:spLocks noChangeArrowheads="1"/>
        </xdr:cNvSpPr>
      </xdr:nvSpPr>
      <xdr:spPr bwMode="auto">
        <a:xfrm>
          <a:off x="1771650" y="2076450"/>
          <a:ext cx="133350" cy="123825"/>
        </a:xfrm>
        <a:prstGeom prst="rect">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1</xdr:col>
      <xdr:colOff>85725</xdr:colOff>
      <xdr:row>6</xdr:row>
      <xdr:rowOff>28575</xdr:rowOff>
    </xdr:from>
    <xdr:to>
      <xdr:col>1</xdr:col>
      <xdr:colOff>219075</xdr:colOff>
      <xdr:row>7</xdr:row>
      <xdr:rowOff>0</xdr:rowOff>
    </xdr:to>
    <xdr:sp macro="" textlink="">
      <xdr:nvSpPr>
        <xdr:cNvPr id="2539304" name="Drawing 11">
          <a:extLst>
            <a:ext uri="{FF2B5EF4-FFF2-40B4-BE49-F238E27FC236}">
              <a16:creationId xmlns:a16="http://schemas.microsoft.com/office/drawing/2014/main" id="{00000000-0008-0000-0A00-000028BF2600}"/>
            </a:ext>
          </a:extLst>
        </xdr:cNvPr>
        <xdr:cNvSpPr>
          <a:spLocks/>
        </xdr:cNvSpPr>
      </xdr:nvSpPr>
      <xdr:spPr bwMode="auto">
        <a:xfrm>
          <a:off x="523875" y="2085975"/>
          <a:ext cx="133350" cy="133350"/>
        </a:xfrm>
        <a:custGeom>
          <a:avLst/>
          <a:gdLst>
            <a:gd name="T0" fmla="*/ 2147483646 w 16384"/>
            <a:gd name="T1" fmla="*/ 0 h 16384"/>
            <a:gd name="T2" fmla="*/ 0 w 16384"/>
            <a:gd name="T3" fmla="*/ 2147483646 h 16384"/>
            <a:gd name="T4" fmla="*/ 2147483646 w 16384"/>
            <a:gd name="T5" fmla="*/ 2147483646 h 16384"/>
            <a:gd name="T6" fmla="*/ 2147483646 w 16384"/>
            <a:gd name="T7" fmla="*/ 2147483646 h 16384"/>
            <a:gd name="T8" fmla="*/ 2147483646 w 16384"/>
            <a:gd name="T9" fmla="*/ 0 h 16384"/>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6384" h="16384">
              <a:moveTo>
                <a:pt x="8192" y="0"/>
              </a:moveTo>
              <a:lnTo>
                <a:pt x="0" y="8031"/>
              </a:lnTo>
              <a:lnTo>
                <a:pt x="8192" y="16384"/>
              </a:lnTo>
              <a:lnTo>
                <a:pt x="16384" y="8192"/>
              </a:lnTo>
              <a:lnTo>
                <a:pt x="8192" y="0"/>
              </a:lnTo>
              <a:close/>
            </a:path>
          </a:pathLst>
        </a:custGeom>
        <a:noFill/>
        <a:ln w="9525" cap="flat">
          <a:solidFill>
            <a:srgbClr xmlns:mc="http://schemas.openxmlformats.org/markup-compatibility/2006" xmlns:a14="http://schemas.microsoft.com/office/drawing/2010/main" val="000000" mc:Ignorable="a14" a14:legacySpreadsheetColorIndex="8"/>
          </a:solidFill>
          <a:prstDash val="solid"/>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3</xdr:col>
      <xdr:colOff>38100</xdr:colOff>
      <xdr:row>6</xdr:row>
      <xdr:rowOff>9525</xdr:rowOff>
    </xdr:from>
    <xdr:to>
      <xdr:col>3</xdr:col>
      <xdr:colOff>276225</xdr:colOff>
      <xdr:row>7</xdr:row>
      <xdr:rowOff>9525</xdr:rowOff>
    </xdr:to>
    <xdr:sp macro="" textlink="">
      <xdr:nvSpPr>
        <xdr:cNvPr id="2539305" name="Right Arrow 1">
          <a:extLst>
            <a:ext uri="{FF2B5EF4-FFF2-40B4-BE49-F238E27FC236}">
              <a16:creationId xmlns:a16="http://schemas.microsoft.com/office/drawing/2014/main" id="{00000000-0008-0000-0A00-000029BF2600}"/>
            </a:ext>
          </a:extLst>
        </xdr:cNvPr>
        <xdr:cNvSpPr>
          <a:spLocks noChangeArrowheads="1"/>
        </xdr:cNvSpPr>
      </xdr:nvSpPr>
      <xdr:spPr bwMode="auto">
        <a:xfrm>
          <a:off x="1104900" y="2066925"/>
          <a:ext cx="238125" cy="161925"/>
        </a:xfrm>
        <a:prstGeom prst="rightArrow">
          <a:avLst>
            <a:gd name="adj1" fmla="val 50000"/>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66675</xdr:colOff>
      <xdr:row>6</xdr:row>
      <xdr:rowOff>28575</xdr:rowOff>
    </xdr:from>
    <xdr:to>
      <xdr:col>6</xdr:col>
      <xdr:colOff>228600</xdr:colOff>
      <xdr:row>6</xdr:row>
      <xdr:rowOff>133350</xdr:rowOff>
    </xdr:to>
    <xdr:sp macro="" textlink="">
      <xdr:nvSpPr>
        <xdr:cNvPr id="2539306" name="Flowchart: Delay 1">
          <a:extLst>
            <a:ext uri="{FF2B5EF4-FFF2-40B4-BE49-F238E27FC236}">
              <a16:creationId xmlns:a16="http://schemas.microsoft.com/office/drawing/2014/main" id="{00000000-0008-0000-0A00-00002ABF2600}"/>
            </a:ext>
          </a:extLst>
        </xdr:cNvPr>
        <xdr:cNvSpPr>
          <a:spLocks noChangeArrowheads="1"/>
        </xdr:cNvSpPr>
      </xdr:nvSpPr>
      <xdr:spPr bwMode="auto">
        <a:xfrm>
          <a:off x="2076450" y="2085975"/>
          <a:ext cx="161925" cy="104775"/>
        </a:xfrm>
        <a:prstGeom prst="flowChartDelay">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180975</xdr:rowOff>
        </xdr:from>
        <xdr:to>
          <xdr:col>1</xdr:col>
          <xdr:colOff>533400</xdr:colOff>
          <xdr:row>2</xdr:row>
          <xdr:rowOff>19050</xdr:rowOff>
        </xdr:to>
        <xdr:sp macro="" textlink="">
          <xdr:nvSpPr>
            <xdr:cNvPr id="2638849" name="Check Box 1" hidden="1">
              <a:extLst>
                <a:ext uri="{63B3BB69-23CF-44E3-9099-C40C66FF867C}">
                  <a14:compatExt spid="_x0000_s2638849"/>
                </a:ext>
                <a:ext uri="{FF2B5EF4-FFF2-40B4-BE49-F238E27FC236}">
                  <a16:creationId xmlns:a16="http://schemas.microsoft.com/office/drawing/2014/main" id="{00000000-0008-0000-0C00-00000144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0</xdr:row>
          <xdr:rowOff>180975</xdr:rowOff>
        </xdr:from>
        <xdr:to>
          <xdr:col>3</xdr:col>
          <xdr:colOff>0</xdr:colOff>
          <xdr:row>2</xdr:row>
          <xdr:rowOff>19050</xdr:rowOff>
        </xdr:to>
        <xdr:sp macro="" textlink="">
          <xdr:nvSpPr>
            <xdr:cNvPr id="2638850" name="Check Box 2" hidden="1">
              <a:extLst>
                <a:ext uri="{63B3BB69-23CF-44E3-9099-C40C66FF867C}">
                  <a14:compatExt spid="_x0000_s2638850"/>
                </a:ext>
                <a:ext uri="{FF2B5EF4-FFF2-40B4-BE49-F238E27FC236}">
                  <a16:creationId xmlns:a16="http://schemas.microsoft.com/office/drawing/2014/main" id="{00000000-0008-0000-0C00-00000244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0</xdr:row>
          <xdr:rowOff>180975</xdr:rowOff>
        </xdr:from>
        <xdr:to>
          <xdr:col>5</xdr:col>
          <xdr:colOff>238125</xdr:colOff>
          <xdr:row>2</xdr:row>
          <xdr:rowOff>19050</xdr:rowOff>
        </xdr:to>
        <xdr:sp macro="" textlink="">
          <xdr:nvSpPr>
            <xdr:cNvPr id="2638851" name="Check Box 3" hidden="1">
              <a:extLst>
                <a:ext uri="{63B3BB69-23CF-44E3-9099-C40C66FF867C}">
                  <a14:compatExt spid="_x0000_s2638851"/>
                </a:ext>
                <a:ext uri="{FF2B5EF4-FFF2-40B4-BE49-F238E27FC236}">
                  <a16:creationId xmlns:a16="http://schemas.microsoft.com/office/drawing/2014/main" id="{00000000-0008-0000-0C00-0000034428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Production</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21</xdr:col>
      <xdr:colOff>19050</xdr:colOff>
      <xdr:row>16</xdr:row>
      <xdr:rowOff>152400</xdr:rowOff>
    </xdr:from>
    <xdr:to>
      <xdr:col>29</xdr:col>
      <xdr:colOff>457200</xdr:colOff>
      <xdr:row>38</xdr:row>
      <xdr:rowOff>152400</xdr:rowOff>
    </xdr:to>
    <xdr:graphicFrame macro="">
      <xdr:nvGraphicFramePr>
        <xdr:cNvPr id="2714752" name="Chart 4">
          <a:extLst>
            <a:ext uri="{FF2B5EF4-FFF2-40B4-BE49-F238E27FC236}">
              <a16:creationId xmlns:a16="http://schemas.microsoft.com/office/drawing/2014/main" id="{00000000-0008-0000-0F00-0000806C2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85725</xdr:colOff>
      <xdr:row>29</xdr:row>
      <xdr:rowOff>0</xdr:rowOff>
    </xdr:from>
    <xdr:to>
      <xdr:col>1</xdr:col>
      <xdr:colOff>161925</xdr:colOff>
      <xdr:row>29</xdr:row>
      <xdr:rowOff>0</xdr:rowOff>
    </xdr:to>
    <xdr:sp macro="" textlink="">
      <xdr:nvSpPr>
        <xdr:cNvPr id="5580048" name="Line 1">
          <a:extLst>
            <a:ext uri="{FF2B5EF4-FFF2-40B4-BE49-F238E27FC236}">
              <a16:creationId xmlns:a16="http://schemas.microsoft.com/office/drawing/2014/main" id="{00000000-0008-0000-1500-000010255500}"/>
            </a:ext>
          </a:extLst>
        </xdr:cNvPr>
        <xdr:cNvSpPr>
          <a:spLocks noChangeShapeType="1"/>
        </xdr:cNvSpPr>
      </xdr:nvSpPr>
      <xdr:spPr bwMode="auto">
        <a:xfrm>
          <a:off x="590550" y="5800725"/>
          <a:ext cx="76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29</xdr:row>
      <xdr:rowOff>0</xdr:rowOff>
    </xdr:from>
    <xdr:to>
      <xdr:col>1</xdr:col>
      <xdr:colOff>161925</xdr:colOff>
      <xdr:row>29</xdr:row>
      <xdr:rowOff>0</xdr:rowOff>
    </xdr:to>
    <xdr:sp macro="" textlink="">
      <xdr:nvSpPr>
        <xdr:cNvPr id="5580049" name="Line 2">
          <a:extLst>
            <a:ext uri="{FF2B5EF4-FFF2-40B4-BE49-F238E27FC236}">
              <a16:creationId xmlns:a16="http://schemas.microsoft.com/office/drawing/2014/main" id="{00000000-0008-0000-1500-000011255500}"/>
            </a:ext>
          </a:extLst>
        </xdr:cNvPr>
        <xdr:cNvSpPr>
          <a:spLocks noChangeShapeType="1"/>
        </xdr:cNvSpPr>
      </xdr:nvSpPr>
      <xdr:spPr bwMode="auto">
        <a:xfrm>
          <a:off x="590550" y="5800725"/>
          <a:ext cx="76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29</xdr:row>
      <xdr:rowOff>0</xdr:rowOff>
    </xdr:from>
    <xdr:to>
      <xdr:col>1</xdr:col>
      <xdr:colOff>161925</xdr:colOff>
      <xdr:row>29</xdr:row>
      <xdr:rowOff>0</xdr:rowOff>
    </xdr:to>
    <xdr:sp macro="" textlink="">
      <xdr:nvSpPr>
        <xdr:cNvPr id="5580050" name="Line 3">
          <a:extLst>
            <a:ext uri="{FF2B5EF4-FFF2-40B4-BE49-F238E27FC236}">
              <a16:creationId xmlns:a16="http://schemas.microsoft.com/office/drawing/2014/main" id="{00000000-0008-0000-1500-000012255500}"/>
            </a:ext>
          </a:extLst>
        </xdr:cNvPr>
        <xdr:cNvSpPr>
          <a:spLocks noChangeShapeType="1"/>
        </xdr:cNvSpPr>
      </xdr:nvSpPr>
      <xdr:spPr bwMode="auto">
        <a:xfrm>
          <a:off x="590550" y="5800725"/>
          <a:ext cx="76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29</xdr:row>
      <xdr:rowOff>0</xdr:rowOff>
    </xdr:from>
    <xdr:to>
      <xdr:col>1</xdr:col>
      <xdr:colOff>161925</xdr:colOff>
      <xdr:row>29</xdr:row>
      <xdr:rowOff>0</xdr:rowOff>
    </xdr:to>
    <xdr:sp macro="" textlink="">
      <xdr:nvSpPr>
        <xdr:cNvPr id="5580051" name="Line 4">
          <a:extLst>
            <a:ext uri="{FF2B5EF4-FFF2-40B4-BE49-F238E27FC236}">
              <a16:creationId xmlns:a16="http://schemas.microsoft.com/office/drawing/2014/main" id="{00000000-0008-0000-1500-000013255500}"/>
            </a:ext>
          </a:extLst>
        </xdr:cNvPr>
        <xdr:cNvSpPr>
          <a:spLocks noChangeShapeType="1"/>
        </xdr:cNvSpPr>
      </xdr:nvSpPr>
      <xdr:spPr bwMode="auto">
        <a:xfrm>
          <a:off x="590550" y="5800725"/>
          <a:ext cx="76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142875</xdr:colOff>
      <xdr:row>44</xdr:row>
      <xdr:rowOff>38100</xdr:rowOff>
    </xdr:from>
    <xdr:to>
      <xdr:col>13</xdr:col>
      <xdr:colOff>428625</xdr:colOff>
      <xdr:row>62</xdr:row>
      <xdr:rowOff>95250</xdr:rowOff>
    </xdr:to>
    <xdr:graphicFrame macro="">
      <xdr:nvGraphicFramePr>
        <xdr:cNvPr id="5580052" name="Chart 5">
          <a:extLst>
            <a:ext uri="{FF2B5EF4-FFF2-40B4-BE49-F238E27FC236}">
              <a16:creationId xmlns:a16="http://schemas.microsoft.com/office/drawing/2014/main" id="{00000000-0008-0000-1500-000014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66</xdr:row>
      <xdr:rowOff>66675</xdr:rowOff>
    </xdr:from>
    <xdr:to>
      <xdr:col>13</xdr:col>
      <xdr:colOff>428625</xdr:colOff>
      <xdr:row>84</xdr:row>
      <xdr:rowOff>85725</xdr:rowOff>
    </xdr:to>
    <xdr:graphicFrame macro="">
      <xdr:nvGraphicFramePr>
        <xdr:cNvPr id="5580053" name="Chart 6">
          <a:extLst>
            <a:ext uri="{FF2B5EF4-FFF2-40B4-BE49-F238E27FC236}">
              <a16:creationId xmlns:a16="http://schemas.microsoft.com/office/drawing/2014/main" id="{00000000-0008-0000-1500-000015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161925</xdr:colOff>
      <xdr:row>87</xdr:row>
      <xdr:rowOff>0</xdr:rowOff>
    </xdr:from>
    <xdr:to>
      <xdr:col>13</xdr:col>
      <xdr:colOff>457200</xdr:colOff>
      <xdr:row>104</xdr:row>
      <xdr:rowOff>133350</xdr:rowOff>
    </xdr:to>
    <xdr:graphicFrame macro="">
      <xdr:nvGraphicFramePr>
        <xdr:cNvPr id="5580054" name="Chart 7">
          <a:extLst>
            <a:ext uri="{FF2B5EF4-FFF2-40B4-BE49-F238E27FC236}">
              <a16:creationId xmlns:a16="http://schemas.microsoft.com/office/drawing/2014/main" id="{00000000-0008-0000-1500-000016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108</xdr:row>
      <xdr:rowOff>38100</xdr:rowOff>
    </xdr:from>
    <xdr:to>
      <xdr:col>13</xdr:col>
      <xdr:colOff>428625</xdr:colOff>
      <xdr:row>126</xdr:row>
      <xdr:rowOff>114300</xdr:rowOff>
    </xdr:to>
    <xdr:graphicFrame macro="">
      <xdr:nvGraphicFramePr>
        <xdr:cNvPr id="5580055" name="Chart 8">
          <a:extLst>
            <a:ext uri="{FF2B5EF4-FFF2-40B4-BE49-F238E27FC236}">
              <a16:creationId xmlns:a16="http://schemas.microsoft.com/office/drawing/2014/main" id="{00000000-0008-0000-1500-000017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133350</xdr:colOff>
      <xdr:row>129</xdr:row>
      <xdr:rowOff>85725</xdr:rowOff>
    </xdr:from>
    <xdr:to>
      <xdr:col>13</xdr:col>
      <xdr:colOff>428625</xdr:colOff>
      <xdr:row>156</xdr:row>
      <xdr:rowOff>76200</xdr:rowOff>
    </xdr:to>
    <xdr:graphicFrame macro="">
      <xdr:nvGraphicFramePr>
        <xdr:cNvPr id="5580056" name="Chart 10">
          <a:extLst>
            <a:ext uri="{FF2B5EF4-FFF2-40B4-BE49-F238E27FC236}">
              <a16:creationId xmlns:a16="http://schemas.microsoft.com/office/drawing/2014/main" id="{00000000-0008-0000-1500-000018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85725</xdr:colOff>
      <xdr:row>170</xdr:row>
      <xdr:rowOff>66675</xdr:rowOff>
    </xdr:from>
    <xdr:to>
      <xdr:col>13</xdr:col>
      <xdr:colOff>447675</xdr:colOff>
      <xdr:row>188</xdr:row>
      <xdr:rowOff>85725</xdr:rowOff>
    </xdr:to>
    <xdr:graphicFrame macro="">
      <xdr:nvGraphicFramePr>
        <xdr:cNvPr id="5580057" name="Chart 11">
          <a:extLst>
            <a:ext uri="{FF2B5EF4-FFF2-40B4-BE49-F238E27FC236}">
              <a16:creationId xmlns:a16="http://schemas.microsoft.com/office/drawing/2014/main" id="{00000000-0008-0000-1500-000019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85725</xdr:colOff>
      <xdr:row>188</xdr:row>
      <xdr:rowOff>133350</xdr:rowOff>
    </xdr:from>
    <xdr:to>
      <xdr:col>13</xdr:col>
      <xdr:colOff>457200</xdr:colOff>
      <xdr:row>206</xdr:row>
      <xdr:rowOff>133350</xdr:rowOff>
    </xdr:to>
    <xdr:graphicFrame macro="">
      <xdr:nvGraphicFramePr>
        <xdr:cNvPr id="5580058" name="Chart 12">
          <a:extLst>
            <a:ext uri="{FF2B5EF4-FFF2-40B4-BE49-F238E27FC236}">
              <a16:creationId xmlns:a16="http://schemas.microsoft.com/office/drawing/2014/main" id="{00000000-0008-0000-1500-00001A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76200</xdr:colOff>
      <xdr:row>211</xdr:row>
      <xdr:rowOff>57150</xdr:rowOff>
    </xdr:from>
    <xdr:to>
      <xdr:col>13</xdr:col>
      <xdr:colOff>466725</xdr:colOff>
      <xdr:row>224</xdr:row>
      <xdr:rowOff>0</xdr:rowOff>
    </xdr:to>
    <xdr:graphicFrame macro="">
      <xdr:nvGraphicFramePr>
        <xdr:cNvPr id="5580059" name="Chart 16">
          <a:extLst>
            <a:ext uri="{FF2B5EF4-FFF2-40B4-BE49-F238E27FC236}">
              <a16:creationId xmlns:a16="http://schemas.microsoft.com/office/drawing/2014/main" id="{00000000-0008-0000-1500-00001B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66675</xdr:colOff>
      <xdr:row>224</xdr:row>
      <xdr:rowOff>38100</xdr:rowOff>
    </xdr:from>
    <xdr:to>
      <xdr:col>13</xdr:col>
      <xdr:colOff>466725</xdr:colOff>
      <xdr:row>237</xdr:row>
      <xdr:rowOff>19050</xdr:rowOff>
    </xdr:to>
    <xdr:graphicFrame macro="">
      <xdr:nvGraphicFramePr>
        <xdr:cNvPr id="5580060" name="Chart 17">
          <a:extLst>
            <a:ext uri="{FF2B5EF4-FFF2-40B4-BE49-F238E27FC236}">
              <a16:creationId xmlns:a16="http://schemas.microsoft.com/office/drawing/2014/main" id="{00000000-0008-0000-1500-00001C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57150</xdr:colOff>
      <xdr:row>237</xdr:row>
      <xdr:rowOff>47625</xdr:rowOff>
    </xdr:from>
    <xdr:to>
      <xdr:col>13</xdr:col>
      <xdr:colOff>466725</xdr:colOff>
      <xdr:row>250</xdr:row>
      <xdr:rowOff>28575</xdr:rowOff>
    </xdr:to>
    <xdr:graphicFrame macro="">
      <xdr:nvGraphicFramePr>
        <xdr:cNvPr id="5580061" name="Chart 18">
          <a:extLst>
            <a:ext uri="{FF2B5EF4-FFF2-40B4-BE49-F238E27FC236}">
              <a16:creationId xmlns:a16="http://schemas.microsoft.com/office/drawing/2014/main" id="{00000000-0008-0000-1500-00001D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104775</xdr:colOff>
      <xdr:row>253</xdr:row>
      <xdr:rowOff>66675</xdr:rowOff>
    </xdr:from>
    <xdr:to>
      <xdr:col>13</xdr:col>
      <xdr:colOff>476250</xdr:colOff>
      <xdr:row>271</xdr:row>
      <xdr:rowOff>95250</xdr:rowOff>
    </xdr:to>
    <xdr:graphicFrame macro="">
      <xdr:nvGraphicFramePr>
        <xdr:cNvPr id="5580062" name="Chart 19">
          <a:extLst>
            <a:ext uri="{FF2B5EF4-FFF2-40B4-BE49-F238E27FC236}">
              <a16:creationId xmlns:a16="http://schemas.microsoft.com/office/drawing/2014/main" id="{00000000-0008-0000-1500-00001E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85725</xdr:colOff>
      <xdr:row>272</xdr:row>
      <xdr:rowOff>57150</xdr:rowOff>
    </xdr:from>
    <xdr:to>
      <xdr:col>13</xdr:col>
      <xdr:colOff>466725</xdr:colOff>
      <xdr:row>290</xdr:row>
      <xdr:rowOff>95250</xdr:rowOff>
    </xdr:to>
    <xdr:graphicFrame macro="">
      <xdr:nvGraphicFramePr>
        <xdr:cNvPr id="5580063" name="Chart 20">
          <a:extLst>
            <a:ext uri="{FF2B5EF4-FFF2-40B4-BE49-F238E27FC236}">
              <a16:creationId xmlns:a16="http://schemas.microsoft.com/office/drawing/2014/main" id="{00000000-0008-0000-1500-00001F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85725</xdr:colOff>
      <xdr:row>294</xdr:row>
      <xdr:rowOff>57150</xdr:rowOff>
    </xdr:from>
    <xdr:to>
      <xdr:col>13</xdr:col>
      <xdr:colOff>495300</xdr:colOff>
      <xdr:row>307</xdr:row>
      <xdr:rowOff>9525</xdr:rowOff>
    </xdr:to>
    <xdr:graphicFrame macro="">
      <xdr:nvGraphicFramePr>
        <xdr:cNvPr id="5580064" name="Chart 23">
          <a:extLst>
            <a:ext uri="{FF2B5EF4-FFF2-40B4-BE49-F238E27FC236}">
              <a16:creationId xmlns:a16="http://schemas.microsoft.com/office/drawing/2014/main" id="{00000000-0008-0000-1500-000020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76200</xdr:colOff>
      <xdr:row>307</xdr:row>
      <xdr:rowOff>57150</xdr:rowOff>
    </xdr:from>
    <xdr:to>
      <xdr:col>13</xdr:col>
      <xdr:colOff>495300</xdr:colOff>
      <xdr:row>320</xdr:row>
      <xdr:rowOff>76200</xdr:rowOff>
    </xdr:to>
    <xdr:graphicFrame macro="">
      <xdr:nvGraphicFramePr>
        <xdr:cNvPr id="5580065" name="Chart 24">
          <a:extLst>
            <a:ext uri="{FF2B5EF4-FFF2-40B4-BE49-F238E27FC236}">
              <a16:creationId xmlns:a16="http://schemas.microsoft.com/office/drawing/2014/main" id="{00000000-0008-0000-1500-000021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66675</xdr:colOff>
      <xdr:row>321</xdr:row>
      <xdr:rowOff>0</xdr:rowOff>
    </xdr:from>
    <xdr:to>
      <xdr:col>13</xdr:col>
      <xdr:colOff>485775</xdr:colOff>
      <xdr:row>333</xdr:row>
      <xdr:rowOff>114300</xdr:rowOff>
    </xdr:to>
    <xdr:graphicFrame macro="">
      <xdr:nvGraphicFramePr>
        <xdr:cNvPr id="5580066" name="Chart 25">
          <a:extLst>
            <a:ext uri="{FF2B5EF4-FFF2-40B4-BE49-F238E27FC236}">
              <a16:creationId xmlns:a16="http://schemas.microsoft.com/office/drawing/2014/main" id="{00000000-0008-0000-1500-000022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66675</xdr:colOff>
      <xdr:row>336</xdr:row>
      <xdr:rowOff>66675</xdr:rowOff>
    </xdr:from>
    <xdr:to>
      <xdr:col>13</xdr:col>
      <xdr:colOff>514350</xdr:colOff>
      <xdr:row>363</xdr:row>
      <xdr:rowOff>0</xdr:rowOff>
    </xdr:to>
    <xdr:graphicFrame macro="">
      <xdr:nvGraphicFramePr>
        <xdr:cNvPr id="5580067" name="Chart 28">
          <a:extLst>
            <a:ext uri="{FF2B5EF4-FFF2-40B4-BE49-F238E27FC236}">
              <a16:creationId xmlns:a16="http://schemas.microsoft.com/office/drawing/2014/main" id="{00000000-0008-0000-1500-000023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76200</xdr:colOff>
      <xdr:row>30</xdr:row>
      <xdr:rowOff>28575</xdr:rowOff>
    </xdr:from>
    <xdr:to>
      <xdr:col>1</xdr:col>
      <xdr:colOff>152400</xdr:colOff>
      <xdr:row>30</xdr:row>
      <xdr:rowOff>28575</xdr:rowOff>
    </xdr:to>
    <xdr:sp macro="" textlink="">
      <xdr:nvSpPr>
        <xdr:cNvPr id="5580068" name="Line 32">
          <a:extLst>
            <a:ext uri="{FF2B5EF4-FFF2-40B4-BE49-F238E27FC236}">
              <a16:creationId xmlns:a16="http://schemas.microsoft.com/office/drawing/2014/main" id="{00000000-0008-0000-1500-000024255500}"/>
            </a:ext>
          </a:extLst>
        </xdr:cNvPr>
        <xdr:cNvSpPr>
          <a:spLocks noChangeShapeType="1"/>
        </xdr:cNvSpPr>
      </xdr:nvSpPr>
      <xdr:spPr bwMode="auto">
        <a:xfrm>
          <a:off x="581025" y="6019800"/>
          <a:ext cx="76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95250</xdr:colOff>
      <xdr:row>377</xdr:row>
      <xdr:rowOff>0</xdr:rowOff>
    </xdr:from>
    <xdr:to>
      <xdr:col>13</xdr:col>
      <xdr:colOff>552450</xdr:colOff>
      <xdr:row>396</xdr:row>
      <xdr:rowOff>133350</xdr:rowOff>
    </xdr:to>
    <xdr:graphicFrame macro="">
      <xdr:nvGraphicFramePr>
        <xdr:cNvPr id="5580069" name="Chart 33">
          <a:extLst>
            <a:ext uri="{FF2B5EF4-FFF2-40B4-BE49-F238E27FC236}">
              <a16:creationId xmlns:a16="http://schemas.microsoft.com/office/drawing/2014/main" id="{00000000-0008-0000-1500-000025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85725</xdr:colOff>
      <xdr:row>397</xdr:row>
      <xdr:rowOff>85725</xdr:rowOff>
    </xdr:from>
    <xdr:to>
      <xdr:col>13</xdr:col>
      <xdr:colOff>552450</xdr:colOff>
      <xdr:row>418</xdr:row>
      <xdr:rowOff>9525</xdr:rowOff>
    </xdr:to>
    <xdr:graphicFrame macro="">
      <xdr:nvGraphicFramePr>
        <xdr:cNvPr id="5580070" name="Chart 34">
          <a:extLst>
            <a:ext uri="{FF2B5EF4-FFF2-40B4-BE49-F238E27FC236}">
              <a16:creationId xmlns:a16="http://schemas.microsoft.com/office/drawing/2014/main" id="{00000000-0008-0000-1500-000026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57150</xdr:colOff>
      <xdr:row>419</xdr:row>
      <xdr:rowOff>0</xdr:rowOff>
    </xdr:from>
    <xdr:to>
      <xdr:col>13</xdr:col>
      <xdr:colOff>533400</xdr:colOff>
      <xdr:row>439</xdr:row>
      <xdr:rowOff>9525</xdr:rowOff>
    </xdr:to>
    <xdr:graphicFrame macro="">
      <xdr:nvGraphicFramePr>
        <xdr:cNvPr id="5580071" name="Chart 35">
          <a:extLst>
            <a:ext uri="{FF2B5EF4-FFF2-40B4-BE49-F238E27FC236}">
              <a16:creationId xmlns:a16="http://schemas.microsoft.com/office/drawing/2014/main" id="{00000000-0008-0000-1500-00002725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95250</xdr:colOff>
      <xdr:row>57</xdr:row>
      <xdr:rowOff>161925</xdr:rowOff>
    </xdr:from>
    <xdr:to>
      <xdr:col>1</xdr:col>
      <xdr:colOff>314325</xdr:colOff>
      <xdr:row>57</xdr:row>
      <xdr:rowOff>161925</xdr:rowOff>
    </xdr:to>
    <xdr:sp macro="" textlink="">
      <xdr:nvSpPr>
        <xdr:cNvPr id="19137" name="Line 2">
          <a:extLst>
            <a:ext uri="{FF2B5EF4-FFF2-40B4-BE49-F238E27FC236}">
              <a16:creationId xmlns:a16="http://schemas.microsoft.com/office/drawing/2014/main" id="{00000000-0008-0000-1600-0000C14A0000}"/>
            </a:ext>
          </a:extLst>
        </xdr:cNvPr>
        <xdr:cNvSpPr>
          <a:spLocks noChangeShapeType="1"/>
        </xdr:cNvSpPr>
      </xdr:nvSpPr>
      <xdr:spPr bwMode="auto">
        <a:xfrm flipV="1">
          <a:off x="247650" y="10420350"/>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8</xdr:row>
      <xdr:rowOff>85725</xdr:rowOff>
    </xdr:from>
    <xdr:to>
      <xdr:col>31</xdr:col>
      <xdr:colOff>152400</xdr:colOff>
      <xdr:row>27</xdr:row>
      <xdr:rowOff>85725</xdr:rowOff>
    </xdr:to>
    <xdr:graphicFrame macro="">
      <xdr:nvGraphicFramePr>
        <xdr:cNvPr id="19138" name="Chart 4">
          <a:extLst>
            <a:ext uri="{FF2B5EF4-FFF2-40B4-BE49-F238E27FC236}">
              <a16:creationId xmlns:a16="http://schemas.microsoft.com/office/drawing/2014/main" id="{00000000-0008-0000-1600-0000C24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29</xdr:row>
      <xdr:rowOff>76200</xdr:rowOff>
    </xdr:from>
    <xdr:to>
      <xdr:col>31</xdr:col>
      <xdr:colOff>123825</xdr:colOff>
      <xdr:row>48</xdr:row>
      <xdr:rowOff>76200</xdr:rowOff>
    </xdr:to>
    <xdr:graphicFrame macro="">
      <xdr:nvGraphicFramePr>
        <xdr:cNvPr id="19139" name="Chart 5">
          <a:extLst>
            <a:ext uri="{FF2B5EF4-FFF2-40B4-BE49-F238E27FC236}">
              <a16:creationId xmlns:a16="http://schemas.microsoft.com/office/drawing/2014/main" id="{00000000-0008-0000-1600-0000C34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95250</xdr:colOff>
      <xdr:row>45</xdr:row>
      <xdr:rowOff>0</xdr:rowOff>
    </xdr:from>
    <xdr:to>
      <xdr:col>1</xdr:col>
      <xdr:colOff>314325</xdr:colOff>
      <xdr:row>45</xdr:row>
      <xdr:rowOff>0</xdr:rowOff>
    </xdr:to>
    <xdr:sp macro="" textlink="">
      <xdr:nvSpPr>
        <xdr:cNvPr id="43711" name="Line 1">
          <a:extLst>
            <a:ext uri="{FF2B5EF4-FFF2-40B4-BE49-F238E27FC236}">
              <a16:creationId xmlns:a16="http://schemas.microsoft.com/office/drawing/2014/main" id="{00000000-0008-0000-1700-0000BFAA0000}"/>
            </a:ext>
          </a:extLst>
        </xdr:cNvPr>
        <xdr:cNvSpPr>
          <a:spLocks noChangeShapeType="1"/>
        </xdr:cNvSpPr>
      </xdr:nvSpPr>
      <xdr:spPr bwMode="auto">
        <a:xfrm flipV="1">
          <a:off x="247650" y="7524750"/>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10</xdr:row>
      <xdr:rowOff>85725</xdr:rowOff>
    </xdr:from>
    <xdr:to>
      <xdr:col>26</xdr:col>
      <xdr:colOff>152400</xdr:colOff>
      <xdr:row>27</xdr:row>
      <xdr:rowOff>0</xdr:rowOff>
    </xdr:to>
    <xdr:graphicFrame macro="">
      <xdr:nvGraphicFramePr>
        <xdr:cNvPr id="43712" name="Chart 2">
          <a:extLst>
            <a:ext uri="{FF2B5EF4-FFF2-40B4-BE49-F238E27FC236}">
              <a16:creationId xmlns:a16="http://schemas.microsoft.com/office/drawing/2014/main" id="{00000000-0008-0000-1700-0000C0A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31</xdr:row>
      <xdr:rowOff>9525</xdr:rowOff>
    </xdr:from>
    <xdr:to>
      <xdr:col>26</xdr:col>
      <xdr:colOff>114300</xdr:colOff>
      <xdr:row>41</xdr:row>
      <xdr:rowOff>152400</xdr:rowOff>
    </xdr:to>
    <xdr:graphicFrame macro="">
      <xdr:nvGraphicFramePr>
        <xdr:cNvPr id="43713" name="Chart 3">
          <a:extLst>
            <a:ext uri="{FF2B5EF4-FFF2-40B4-BE49-F238E27FC236}">
              <a16:creationId xmlns:a16="http://schemas.microsoft.com/office/drawing/2014/main" id="{00000000-0008-0000-1700-0000C1A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ve.albrecht\Downloads\FT.0140%20v5.xlsx" TargetMode="External"/><Relationship Id="rId1" Type="http://schemas.openxmlformats.org/officeDocument/2006/relationships/externalLinkPath" Target="file:///C:\Users\dave.albrecht\Downloads\FT.0140%20v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gilityfso365.sharepoint.com/mgmtsystem/Shared%20Documents/SUPPLIER-PPAP-TEMPLATE-ALL-LEVELS_Agility-FS_201808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bmission Guide"/>
      <sheetName val="INTRO"/>
      <sheetName val="Truck PSW"/>
      <sheetName val="1.  Design Records"/>
      <sheetName val="2-1. Deviation Request"/>
      <sheetName val="2-2. Change Notification"/>
      <sheetName val="2-3.  Part History"/>
      <sheetName val="3. Agility Eng Approval"/>
      <sheetName val="4. DFMEA"/>
      <sheetName val="4. DFMEA Ranking"/>
      <sheetName val="5. Process Flow"/>
      <sheetName val="6. PFMEA"/>
      <sheetName val="6. PFMEA Ranking"/>
      <sheetName val="7. Control Plan"/>
      <sheetName val="8. GR&amp;R Summary"/>
      <sheetName val="8A. ATT BIAS(Analytic)"/>
      <sheetName val="8A. Graph"/>
      <sheetName val="8B. GR&amp;R ATT(Hyp)"/>
      <sheetName val="8C. GR&amp;R VAR(TV)"/>
      <sheetName val="8D. GR&amp;R VAR(Tol)"/>
      <sheetName val="8E. GR&amp;R ANOVA"/>
      <sheetName val="8E. GR&amp;R Graphical"/>
      <sheetName val="8F. GR&amp;R X&amp;R "/>
      <sheetName val="8G. Gage R"/>
      <sheetName val="9. Dimensional Results"/>
      <sheetName val="10-1. Material Test Results"/>
      <sheetName val="10-2. Performance Test Results"/>
      <sheetName val="11. Initial Process Studies"/>
      <sheetName val="12.  Qualified Lab"/>
      <sheetName val="13. Appearance Approval"/>
      <sheetName val="14. Sample Production Parts"/>
      <sheetName val="15.  Master Samples"/>
      <sheetName val="16. Checking Aids"/>
      <sheetName val="17. Customer Specific Req"/>
      <sheetName val="FILE REV"/>
      <sheetName val="AIAG REF REV"/>
      <sheetName val="BM REQ"/>
      <sheetName val="BM INT"/>
      <sheetName val="Modul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ssion Guide"/>
      <sheetName val="INTRO"/>
      <sheetName val="1A. Truck PSW"/>
      <sheetName val="1B. AUTOMOTIVE PSW"/>
      <sheetName val="2.  Design Records"/>
      <sheetName val="3. Change notification"/>
      <sheetName val="3.  Part HISTORY"/>
      <sheetName val="4.  Eng Change Docs"/>
      <sheetName val="5. DFMEA"/>
      <sheetName val="5. DFMEA Ranking"/>
      <sheetName val="6. Process Flow"/>
      <sheetName val="7. PFMEA"/>
      <sheetName val="7. PFMEA Ranking"/>
      <sheetName val="8. CPLAN"/>
      <sheetName val="9. GR&amp;R Summary"/>
      <sheetName val="9A. ATT BIAS(Analytic)"/>
      <sheetName val="9A. Graph"/>
      <sheetName val="9B. GR&amp;R ATT(Hyp)"/>
      <sheetName val="9C. GR&amp;R VAR(TV)"/>
      <sheetName val="9D. GR&amp;R VAR(Tol)"/>
      <sheetName val="9E. GR&amp;R ANOVA"/>
      <sheetName val="Graphical"/>
      <sheetName val="9F. GR&amp;R X&amp;R "/>
      <sheetName val="9G. Gage R"/>
      <sheetName val="10. DIMENSIONAL"/>
      <sheetName val="11-1. MATERIAL"/>
      <sheetName val="11-2. PERFORMANCE"/>
      <sheetName val="12.InitialProcessStudy Summary"/>
      <sheetName val="13.  Qualified Lab Docs"/>
      <sheetName val="14. Appearance Approval"/>
      <sheetName val="15. Sample Product Parts"/>
      <sheetName val="16.  Master Sample"/>
      <sheetName val="17. Checking Aids"/>
      <sheetName val="18.  Customer Specific Req"/>
      <sheetName val="FILE REV"/>
      <sheetName val="REERENCE REV"/>
      <sheetName val="BM REQ"/>
      <sheetName val="BM INT"/>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76.x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vmlDrawing" Target="../drawings/vmlDrawing16.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vmlDrawing" Target="../drawings/vmlDrawing22.v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vmlDrawing" Target="../drawings/vmlDrawing24.v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2.v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6.xml"/><Relationship Id="rId1" Type="http://schemas.openxmlformats.org/officeDocument/2006/relationships/printerSettings" Target="../printerSettings/printerSettings21.bin"/><Relationship Id="rId5" Type="http://schemas.openxmlformats.org/officeDocument/2006/relationships/comments" Target="../comments4.xml"/><Relationship Id="rId4" Type="http://schemas.openxmlformats.org/officeDocument/2006/relationships/vmlDrawing" Target="../drawings/vmlDrawing28.v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vmlDrawing" Target="../drawings/vmlDrawing33.vml"/><Relationship Id="rId1" Type="http://schemas.openxmlformats.org/officeDocument/2006/relationships/printerSettings" Target="../printerSettings/printerSettings24.bin"/><Relationship Id="rId4" Type="http://schemas.openxmlformats.org/officeDocument/2006/relationships/comments" Target="../comments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vmlDrawing" Target="../drawings/vmlDrawing35.vml"/><Relationship Id="rId1" Type="http://schemas.openxmlformats.org/officeDocument/2006/relationships/printerSettings" Target="../printerSettings/printerSettings25.bin"/><Relationship Id="rId4" Type="http://schemas.openxmlformats.org/officeDocument/2006/relationships/comments" Target="../comments6.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vmlDrawing" Target="../drawings/vmlDrawing37.vml"/><Relationship Id="rId1" Type="http://schemas.openxmlformats.org/officeDocument/2006/relationships/printerSettings" Target="../printerSettings/printerSettings26.bin"/><Relationship Id="rId4" Type="http://schemas.openxmlformats.org/officeDocument/2006/relationships/comments" Target="../comments7.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vmlDrawing" Target="../drawings/vmlDrawing39.vml"/><Relationship Id="rId1" Type="http://schemas.openxmlformats.org/officeDocument/2006/relationships/printerSettings" Target="../printerSettings/printerSettings27.bin"/><Relationship Id="rId4" Type="http://schemas.openxmlformats.org/officeDocument/2006/relationships/comments" Target="../comments8.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5.v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41" Type="http://schemas.openxmlformats.org/officeDocument/2006/relationships/ctrlProp" Target="../ctrlProps/ctrlProp70.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trlProp" Target="../ctrlProps/ctrlProp73.xml"/><Relationship Id="rId4" Type="http://schemas.openxmlformats.org/officeDocument/2006/relationships/vmlDrawing" Target="../drawings/vmlDrawing6.v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IU21"/>
  <sheetViews>
    <sheetView showGridLines="0" showRowColHeaders="0" tabSelected="1" view="pageLayout" zoomScaleNormal="100" workbookViewId="0">
      <selection activeCell="B12" sqref="B12"/>
    </sheetView>
  </sheetViews>
  <sheetFormatPr defaultColWidth="0" defaultRowHeight="12.75"/>
  <cols>
    <col min="1" max="1" width="7" style="291" customWidth="1"/>
    <col min="2" max="2" width="35.85546875" style="291" customWidth="1"/>
    <col min="3" max="3" width="79.7109375" style="291" customWidth="1"/>
    <col min="4" max="4" width="7" style="291" customWidth="1"/>
    <col min="5" max="255" width="8.85546875" style="291" hidden="1" customWidth="1"/>
    <col min="256" max="16384" width="2.7109375" style="291" hidden="1"/>
  </cols>
  <sheetData>
    <row r="2" spans="1:3" ht="30">
      <c r="A2" s="660" t="s">
        <v>682</v>
      </c>
      <c r="B2" s="660"/>
      <c r="C2" s="660"/>
    </row>
    <row r="3" spans="1:3" ht="21" customHeight="1"/>
    <row r="4" spans="1:3" ht="21" customHeight="1">
      <c r="B4" s="292" t="s">
        <v>959</v>
      </c>
      <c r="C4" s="659"/>
    </row>
    <row r="5" spans="1:3" ht="21" customHeight="1">
      <c r="B5" s="292" t="s">
        <v>960</v>
      </c>
      <c r="C5" s="659"/>
    </row>
    <row r="6" spans="1:3" ht="21" customHeight="1">
      <c r="B6" s="293" t="s">
        <v>309</v>
      </c>
      <c r="C6" s="308"/>
    </row>
    <row r="7" spans="1:3" ht="21" customHeight="1">
      <c r="B7" s="293" t="s">
        <v>310</v>
      </c>
      <c r="C7" s="332"/>
    </row>
    <row r="8" spans="1:3" ht="21" customHeight="1">
      <c r="B8" s="293" t="s">
        <v>918</v>
      </c>
      <c r="C8" s="332"/>
    </row>
    <row r="9" spans="1:3" ht="21" customHeight="1">
      <c r="B9" s="293" t="s">
        <v>919</v>
      </c>
      <c r="C9" s="332"/>
    </row>
    <row r="10" spans="1:3" ht="21" customHeight="1">
      <c r="B10" s="293" t="s">
        <v>920</v>
      </c>
      <c r="C10" s="332"/>
    </row>
    <row r="11" spans="1:3" ht="21" customHeight="1">
      <c r="B11" s="293" t="s">
        <v>317</v>
      </c>
      <c r="C11" s="332"/>
    </row>
    <row r="12" spans="1:3" ht="21" customHeight="1">
      <c r="B12" s="293" t="s">
        <v>953</v>
      </c>
      <c r="C12" s="332"/>
    </row>
    <row r="13" spans="1:3" ht="21" customHeight="1">
      <c r="B13" s="293" t="s">
        <v>318</v>
      </c>
      <c r="C13" s="332"/>
    </row>
    <row r="14" spans="1:3" ht="21" customHeight="1">
      <c r="B14" s="293" t="s">
        <v>961</v>
      </c>
      <c r="C14" s="332"/>
    </row>
    <row r="15" spans="1:3" ht="21" customHeight="1">
      <c r="B15" s="293" t="s">
        <v>319</v>
      </c>
      <c r="C15" s="332"/>
    </row>
    <row r="16" spans="1:3" ht="21" customHeight="1">
      <c r="B16" s="293" t="s">
        <v>944</v>
      </c>
      <c r="C16" s="332"/>
    </row>
    <row r="17" spans="2:3" ht="21" customHeight="1">
      <c r="B17" s="293" t="s">
        <v>962</v>
      </c>
      <c r="C17" s="332"/>
    </row>
    <row r="18" spans="2:3" ht="21" customHeight="1">
      <c r="B18" s="293" t="s">
        <v>957</v>
      </c>
      <c r="C18" s="332"/>
    </row>
    <row r="19" spans="2:3" ht="21" customHeight="1">
      <c r="B19" s="293" t="s">
        <v>320</v>
      </c>
      <c r="C19" s="333"/>
    </row>
    <row r="20" spans="2:3" ht="21" customHeight="1">
      <c r="B20" s="293" t="s">
        <v>321</v>
      </c>
      <c r="C20" s="332"/>
    </row>
    <row r="21" spans="2:3" ht="21" customHeight="1"/>
  </sheetData>
  <mergeCells count="1">
    <mergeCell ref="A2:C2"/>
  </mergeCells>
  <printOptions horizontalCentered="1"/>
  <pageMargins left="0.75" right="0.46666666666666701" top="1" bottom="1" header="0.5" footer="0.5"/>
  <pageSetup orientation="landscape" horizontalDpi="300" verticalDpi="1200" r:id="rId1"/>
  <headerFooter alignWithMargins="0">
    <oddHeader>&amp;L&amp;G</oddHeader>
    <oddFooter>&amp;C&amp;F</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2:M27"/>
  <sheetViews>
    <sheetView showGridLines="0" showRowColHeaders="0" view="pageLayout" zoomScaleNormal="100" workbookViewId="0">
      <selection activeCell="A2" sqref="A2"/>
    </sheetView>
  </sheetViews>
  <sheetFormatPr defaultColWidth="0" defaultRowHeight="12.75"/>
  <cols>
    <col min="1" max="1" width="6.5703125" style="291" customWidth="1"/>
    <col min="2" max="7" width="4.7109375" style="291" customWidth="1"/>
    <col min="8" max="8" width="18.42578125" style="291" customWidth="1"/>
    <col min="9" max="9" width="6.7109375" style="291" customWidth="1"/>
    <col min="10" max="10" width="18.7109375" style="291" customWidth="1"/>
    <col min="11" max="11" width="22.42578125" style="291" customWidth="1"/>
    <col min="12" max="12" width="18.28515625" style="291" customWidth="1"/>
    <col min="13" max="13" width="0.7109375" style="291" customWidth="1"/>
    <col min="14" max="16384" width="9.140625" style="291" hidden="1"/>
  </cols>
  <sheetData>
    <row r="2" spans="1:12">
      <c r="A2" s="291" t="s">
        <v>565</v>
      </c>
      <c r="E2" s="339"/>
      <c r="F2" s="339"/>
      <c r="G2" s="339"/>
      <c r="H2" s="339"/>
      <c r="I2" s="312"/>
      <c r="J2" s="330" t="s">
        <v>564</v>
      </c>
      <c r="K2" s="308"/>
      <c r="L2" s="339"/>
    </row>
    <row r="3" spans="1:12">
      <c r="A3" s="291" t="s">
        <v>624</v>
      </c>
      <c r="J3" s="330" t="s">
        <v>625</v>
      </c>
      <c r="K3" s="691"/>
      <c r="L3" s="691"/>
    </row>
    <row r="4" spans="1:12">
      <c r="A4" s="662"/>
      <c r="B4" s="662"/>
      <c r="C4" s="662"/>
      <c r="D4" s="662"/>
      <c r="E4" s="662"/>
      <c r="F4" s="662"/>
      <c r="G4" s="662"/>
      <c r="H4" s="662"/>
      <c r="I4" s="312"/>
      <c r="J4" s="330" t="s">
        <v>626</v>
      </c>
      <c r="K4" s="716"/>
      <c r="L4" s="716"/>
    </row>
    <row r="6" spans="1:12" ht="98.25" customHeight="1">
      <c r="A6" s="361" t="s">
        <v>627</v>
      </c>
      <c r="B6" s="346" t="s">
        <v>688</v>
      </c>
      <c r="C6" s="346" t="s">
        <v>681</v>
      </c>
      <c r="D6" s="346" t="s">
        <v>708</v>
      </c>
      <c r="E6" s="346" t="s">
        <v>709</v>
      </c>
      <c r="F6" s="346" t="s">
        <v>710</v>
      </c>
      <c r="G6" s="346" t="s">
        <v>687</v>
      </c>
      <c r="H6" s="362" t="s">
        <v>628</v>
      </c>
      <c r="I6" s="362" t="s">
        <v>712</v>
      </c>
      <c r="J6" s="363" t="s">
        <v>629</v>
      </c>
      <c r="K6" s="363" t="s">
        <v>711</v>
      </c>
      <c r="L6" s="363" t="s">
        <v>630</v>
      </c>
    </row>
    <row r="7" spans="1:12">
      <c r="A7" s="364"/>
      <c r="B7" s="365"/>
      <c r="C7" s="365"/>
      <c r="D7" s="365"/>
      <c r="E7" s="365"/>
      <c r="F7" s="365"/>
      <c r="G7" s="365"/>
      <c r="H7" s="366"/>
      <c r="I7" s="366"/>
      <c r="J7" s="366"/>
      <c r="K7" s="367"/>
      <c r="L7" s="366"/>
    </row>
    <row r="8" spans="1:12">
      <c r="A8" s="364"/>
      <c r="B8" s="365"/>
      <c r="C8" s="365"/>
      <c r="D8" s="365"/>
      <c r="E8" s="365"/>
      <c r="F8" s="365"/>
      <c r="G8" s="365"/>
      <c r="H8" s="366"/>
      <c r="I8" s="366"/>
      <c r="J8" s="366"/>
      <c r="K8" s="367"/>
      <c r="L8" s="366"/>
    </row>
    <row r="9" spans="1:12">
      <c r="A9" s="364"/>
      <c r="B9" s="365"/>
      <c r="C9" s="365"/>
      <c r="D9" s="365"/>
      <c r="E9" s="365"/>
      <c r="F9" s="365"/>
      <c r="G9" s="365"/>
      <c r="H9" s="366"/>
      <c r="I9" s="366"/>
      <c r="J9" s="366"/>
      <c r="K9" s="367"/>
      <c r="L9" s="366"/>
    </row>
    <row r="10" spans="1:12">
      <c r="A10" s="364"/>
      <c r="B10" s="365"/>
      <c r="C10" s="365"/>
      <c r="D10" s="365"/>
      <c r="E10" s="365"/>
      <c r="F10" s="365"/>
      <c r="G10" s="365"/>
      <c r="H10" s="366"/>
      <c r="I10" s="366"/>
      <c r="J10" s="366"/>
      <c r="K10" s="367"/>
      <c r="L10" s="366"/>
    </row>
    <row r="11" spans="1:12">
      <c r="A11" s="364"/>
      <c r="B11" s="365"/>
      <c r="C11" s="365"/>
      <c r="D11" s="365"/>
      <c r="E11" s="365"/>
      <c r="F11" s="365"/>
      <c r="G11" s="365"/>
      <c r="H11" s="366"/>
      <c r="I11" s="366"/>
      <c r="J11" s="366"/>
      <c r="K11" s="367"/>
      <c r="L11" s="366"/>
    </row>
    <row r="12" spans="1:12">
      <c r="A12" s="364"/>
      <c r="B12" s="365"/>
      <c r="C12" s="365"/>
      <c r="D12" s="365"/>
      <c r="E12" s="365"/>
      <c r="F12" s="365"/>
      <c r="G12" s="365"/>
      <c r="H12" s="366"/>
      <c r="I12" s="366"/>
      <c r="J12" s="366"/>
      <c r="K12" s="367"/>
      <c r="L12" s="366"/>
    </row>
    <row r="13" spans="1:12">
      <c r="A13" s="364"/>
      <c r="B13" s="365"/>
      <c r="C13" s="365"/>
      <c r="D13" s="365"/>
      <c r="E13" s="365"/>
      <c r="F13" s="365"/>
      <c r="G13" s="365"/>
      <c r="H13" s="366"/>
      <c r="I13" s="366"/>
      <c r="J13" s="366"/>
      <c r="K13" s="367"/>
      <c r="L13" s="366"/>
    </row>
    <row r="14" spans="1:12">
      <c r="A14" s="364"/>
      <c r="B14" s="365"/>
      <c r="C14" s="365"/>
      <c r="D14" s="365"/>
      <c r="E14" s="365"/>
      <c r="F14" s="365"/>
      <c r="G14" s="365"/>
      <c r="H14" s="366"/>
      <c r="I14" s="366"/>
      <c r="J14" s="366"/>
      <c r="K14" s="367"/>
      <c r="L14" s="366"/>
    </row>
    <row r="15" spans="1:12">
      <c r="A15" s="364"/>
      <c r="B15" s="365"/>
      <c r="C15" s="365"/>
      <c r="D15" s="365"/>
      <c r="E15" s="365"/>
      <c r="F15" s="365"/>
      <c r="G15" s="365"/>
      <c r="H15" s="366"/>
      <c r="I15" s="366"/>
      <c r="J15" s="366"/>
      <c r="K15" s="367"/>
      <c r="L15" s="366"/>
    </row>
    <row r="16" spans="1:12">
      <c r="A16" s="364"/>
      <c r="B16" s="365"/>
      <c r="C16" s="365"/>
      <c r="D16" s="365"/>
      <c r="E16" s="365"/>
      <c r="F16" s="365"/>
      <c r="G16" s="365"/>
      <c r="H16" s="366"/>
      <c r="I16" s="366"/>
      <c r="J16" s="366"/>
      <c r="K16" s="367"/>
      <c r="L16" s="366"/>
    </row>
    <row r="17" spans="1:12">
      <c r="A17" s="364"/>
      <c r="B17" s="365"/>
      <c r="C17" s="365"/>
      <c r="D17" s="365"/>
      <c r="E17" s="365"/>
      <c r="F17" s="365"/>
      <c r="G17" s="365"/>
      <c r="H17" s="366"/>
      <c r="I17" s="366"/>
      <c r="J17" s="366"/>
      <c r="K17" s="367"/>
      <c r="L17" s="366"/>
    </row>
    <row r="18" spans="1:12">
      <c r="A18" s="364"/>
      <c r="B18" s="365"/>
      <c r="C18" s="365"/>
      <c r="D18" s="365"/>
      <c r="E18" s="365"/>
      <c r="F18" s="365"/>
      <c r="G18" s="365"/>
      <c r="H18" s="366"/>
      <c r="I18" s="366"/>
      <c r="J18" s="366"/>
      <c r="K18" s="367"/>
      <c r="L18" s="366"/>
    </row>
    <row r="19" spans="1:12">
      <c r="A19" s="364"/>
      <c r="B19" s="365"/>
      <c r="C19" s="365"/>
      <c r="D19" s="365"/>
      <c r="E19" s="365"/>
      <c r="F19" s="365"/>
      <c r="G19" s="365"/>
      <c r="H19" s="366"/>
      <c r="I19" s="366"/>
      <c r="J19" s="366"/>
      <c r="K19" s="367"/>
      <c r="L19" s="366"/>
    </row>
    <row r="20" spans="1:12">
      <c r="A20" s="364"/>
      <c r="B20" s="365"/>
      <c r="C20" s="365"/>
      <c r="D20" s="365"/>
      <c r="E20" s="365"/>
      <c r="F20" s="365"/>
      <c r="G20" s="365"/>
      <c r="H20" s="366"/>
      <c r="I20" s="366"/>
      <c r="J20" s="366"/>
      <c r="K20" s="367"/>
      <c r="L20" s="366"/>
    </row>
    <row r="21" spans="1:12">
      <c r="A21" s="364"/>
      <c r="B21" s="365"/>
      <c r="C21" s="365"/>
      <c r="D21" s="365"/>
      <c r="E21" s="365"/>
      <c r="F21" s="365"/>
      <c r="G21" s="365"/>
      <c r="H21" s="366"/>
      <c r="I21" s="366"/>
      <c r="J21" s="366"/>
      <c r="K21" s="367"/>
      <c r="L21" s="366"/>
    </row>
    <row r="22" spans="1:12">
      <c r="A22" s="364"/>
      <c r="B22" s="365"/>
      <c r="C22" s="365"/>
      <c r="D22" s="365"/>
      <c r="E22" s="365"/>
      <c r="F22" s="365"/>
      <c r="G22" s="365"/>
      <c r="H22" s="366"/>
      <c r="I22" s="366"/>
      <c r="J22" s="366"/>
      <c r="K22" s="367"/>
      <c r="L22" s="366"/>
    </row>
    <row r="23" spans="1:12">
      <c r="A23" s="364"/>
      <c r="B23" s="365"/>
      <c r="C23" s="365"/>
      <c r="D23" s="365"/>
      <c r="E23" s="365"/>
      <c r="F23" s="365"/>
      <c r="G23" s="365"/>
      <c r="H23" s="366"/>
      <c r="I23" s="366"/>
      <c r="J23" s="366"/>
      <c r="K23" s="367"/>
      <c r="L23" s="366"/>
    </row>
    <row r="24" spans="1:12">
      <c r="A24" s="364"/>
      <c r="B24" s="365"/>
      <c r="C24" s="365"/>
      <c r="D24" s="365"/>
      <c r="E24" s="365"/>
      <c r="F24" s="365"/>
      <c r="G24" s="365"/>
      <c r="H24" s="366"/>
      <c r="I24" s="366"/>
      <c r="J24" s="366"/>
      <c r="K24" s="367"/>
      <c r="L24" s="366"/>
    </row>
    <row r="25" spans="1:12">
      <c r="A25" s="364"/>
      <c r="B25" s="365"/>
      <c r="C25" s="365"/>
      <c r="D25" s="365"/>
      <c r="E25" s="365"/>
      <c r="F25" s="365"/>
      <c r="G25" s="365"/>
      <c r="H25" s="366"/>
      <c r="I25" s="366"/>
      <c r="J25" s="366"/>
      <c r="K25" s="367"/>
      <c r="L25" s="366"/>
    </row>
    <row r="26" spans="1:12">
      <c r="A26" s="364"/>
      <c r="B26" s="365"/>
      <c r="C26" s="365"/>
      <c r="D26" s="365"/>
      <c r="E26" s="365"/>
      <c r="F26" s="365"/>
      <c r="G26" s="365"/>
      <c r="H26" s="366"/>
      <c r="I26" s="366"/>
      <c r="J26" s="366"/>
      <c r="K26" s="367"/>
      <c r="L26" s="366"/>
    </row>
    <row r="27" spans="1:12">
      <c r="A27" s="364"/>
      <c r="B27" s="365"/>
      <c r="C27" s="365"/>
      <c r="D27" s="365"/>
      <c r="E27" s="365"/>
      <c r="F27" s="365"/>
      <c r="G27" s="365"/>
      <c r="H27" s="366"/>
      <c r="I27" s="366"/>
      <c r="J27" s="366"/>
      <c r="K27" s="367"/>
      <c r="L27" s="366"/>
    </row>
  </sheetData>
  <mergeCells count="3">
    <mergeCell ref="K3:L3"/>
    <mergeCell ref="K4:L4"/>
    <mergeCell ref="A4:H4"/>
  </mergeCells>
  <pageMargins left="0.75" right="0.75" top="1.3854166666666667" bottom="1" header="0.5" footer="0.5"/>
  <pageSetup orientation="landscape" horizontalDpi="4294967292" r:id="rId1"/>
  <headerFooter>
    <oddHeader>&amp;L&amp;G&amp;C&amp;"Arial,Bold"&amp;14PROCESS FLOW DIAGRAM</oddHeader>
    <oddFooter>&amp;C&amp;F</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U48"/>
  <sheetViews>
    <sheetView showGridLines="0" showRowColHeaders="0" view="pageLayout" zoomScaleNormal="100" workbookViewId="0">
      <selection activeCell="A2" sqref="A2"/>
    </sheetView>
  </sheetViews>
  <sheetFormatPr defaultColWidth="0" defaultRowHeight="12.75"/>
  <cols>
    <col min="1" max="1" width="11.5703125" style="291" customWidth="1"/>
    <col min="2" max="2" width="10.28515625" style="291" customWidth="1"/>
    <col min="3" max="4" width="11.85546875" style="291" customWidth="1"/>
    <col min="5" max="5" width="11.28515625" style="291" customWidth="1"/>
    <col min="6" max="6" width="3.140625" style="328" customWidth="1"/>
    <col min="7" max="7" width="4" style="328" customWidth="1"/>
    <col min="8" max="8" width="17.42578125" style="291" customWidth="1"/>
    <col min="9" max="9" width="13.85546875" style="328" customWidth="1"/>
    <col min="10" max="10" width="3.85546875" style="328" customWidth="1"/>
    <col min="11" max="11" width="14" style="291" customWidth="1"/>
    <col min="12" max="12" width="3.28515625" style="328" customWidth="1"/>
    <col min="13" max="13" width="4.140625" style="328" customWidth="1"/>
    <col min="14" max="14" width="11.28515625" style="291" customWidth="1"/>
    <col min="15" max="15" width="10.5703125" style="291" customWidth="1"/>
    <col min="16" max="16" width="11.7109375" style="291" customWidth="1"/>
    <col min="17" max="19" width="3.42578125" style="328" customWidth="1"/>
    <col min="20" max="20" width="3.85546875" style="328" customWidth="1"/>
    <col min="21" max="21" width="0.7109375" style="291" customWidth="1"/>
    <col min="22" max="16384" width="9.140625" style="291" hidden="1"/>
  </cols>
  <sheetData>
    <row r="1" spans="1:21" ht="4.9000000000000004" customHeight="1">
      <c r="F1" s="291"/>
      <c r="G1" s="715"/>
      <c r="H1" s="715"/>
      <c r="I1" s="715"/>
      <c r="J1" s="715"/>
      <c r="K1" s="715"/>
      <c r="L1" s="715"/>
      <c r="M1" s="715"/>
      <c r="Q1" s="291"/>
      <c r="R1" s="291"/>
      <c r="U1" s="328"/>
    </row>
    <row r="2" spans="1:21">
      <c r="A2" s="336" t="s">
        <v>637</v>
      </c>
      <c r="B2" s="672"/>
      <c r="C2" s="672"/>
      <c r="D2" s="672"/>
      <c r="E2" s="672"/>
      <c r="F2" s="672"/>
      <c r="G2" s="715"/>
      <c r="H2" s="715"/>
      <c r="I2" s="715"/>
      <c r="J2" s="715"/>
      <c r="K2" s="715"/>
      <c r="L2" s="715"/>
      <c r="M2" s="715"/>
      <c r="O2" s="330" t="s">
        <v>636</v>
      </c>
      <c r="P2" s="662"/>
      <c r="Q2" s="662"/>
      <c r="R2" s="662"/>
      <c r="S2" s="662"/>
      <c r="T2" s="662"/>
      <c r="U2" s="328"/>
    </row>
    <row r="3" spans="1:21" ht="6.75" customHeight="1">
      <c r="F3" s="291"/>
      <c r="G3" s="715"/>
      <c r="H3" s="715"/>
      <c r="I3" s="715"/>
      <c r="J3" s="715"/>
      <c r="K3" s="715"/>
      <c r="L3" s="715"/>
      <c r="M3" s="715"/>
      <c r="Q3" s="291"/>
      <c r="R3" s="291"/>
      <c r="U3" s="328"/>
    </row>
    <row r="4" spans="1:21">
      <c r="A4" s="291" t="s">
        <v>577</v>
      </c>
      <c r="B4" s="661"/>
      <c r="C4" s="661"/>
      <c r="D4" s="661"/>
      <c r="E4" s="661"/>
      <c r="F4" s="661"/>
      <c r="H4" s="328"/>
      <c r="I4" s="330" t="s">
        <v>631</v>
      </c>
      <c r="J4" s="662"/>
      <c r="K4" s="662"/>
      <c r="L4" s="662"/>
      <c r="M4" s="662"/>
      <c r="O4" s="330" t="s">
        <v>249</v>
      </c>
      <c r="P4" s="705"/>
      <c r="Q4" s="705"/>
      <c r="R4" s="705"/>
      <c r="S4" s="705"/>
      <c r="T4" s="705"/>
      <c r="U4" s="328"/>
    </row>
    <row r="5" spans="1:21" ht="6.75" customHeight="1">
      <c r="F5" s="291"/>
      <c r="H5" s="328"/>
      <c r="I5" s="291"/>
      <c r="J5" s="312"/>
      <c r="K5" s="312"/>
      <c r="L5" s="312"/>
      <c r="M5" s="312"/>
      <c r="O5" s="330"/>
      <c r="Q5" s="291"/>
      <c r="R5" s="291"/>
      <c r="U5" s="328"/>
    </row>
    <row r="6" spans="1:21">
      <c r="A6" s="291" t="s">
        <v>578</v>
      </c>
      <c r="C6" s="662"/>
      <c r="D6" s="662"/>
      <c r="E6" s="662"/>
      <c r="F6" s="662"/>
      <c r="G6" s="662"/>
      <c r="H6" s="328"/>
      <c r="I6" s="330" t="s">
        <v>633</v>
      </c>
      <c r="J6" s="705"/>
      <c r="K6" s="705"/>
      <c r="L6" s="705"/>
      <c r="M6" s="705"/>
      <c r="O6" s="330" t="s">
        <v>250</v>
      </c>
      <c r="P6" s="705"/>
      <c r="Q6" s="705"/>
      <c r="R6" s="705"/>
      <c r="S6" s="705"/>
      <c r="T6" s="705"/>
      <c r="U6" s="328"/>
    </row>
    <row r="7" spans="1:21" ht="6.75" customHeight="1">
      <c r="F7" s="291"/>
      <c r="H7" s="328"/>
      <c r="I7" s="291"/>
      <c r="Q7" s="291"/>
      <c r="U7" s="328"/>
    </row>
    <row r="8" spans="1:21">
      <c r="A8" s="291" t="s">
        <v>648</v>
      </c>
      <c r="B8" s="662"/>
      <c r="C8" s="662"/>
      <c r="D8" s="662"/>
      <c r="E8" s="662"/>
      <c r="F8" s="662"/>
      <c r="G8" s="662"/>
      <c r="H8" s="662"/>
      <c r="I8" s="662"/>
      <c r="J8" s="662"/>
      <c r="K8" s="662"/>
      <c r="L8" s="662"/>
      <c r="M8" s="662"/>
      <c r="N8" s="662"/>
      <c r="O8" s="662"/>
      <c r="P8" s="662"/>
      <c r="Q8" s="662"/>
      <c r="R8" s="662"/>
      <c r="S8" s="662"/>
      <c r="T8" s="662"/>
      <c r="U8" s="328"/>
    </row>
    <row r="9" spans="1:21" ht="8.25" customHeight="1">
      <c r="J9" s="291"/>
    </row>
    <row r="10" spans="1:21" s="299" customFormat="1" ht="12" customHeight="1">
      <c r="A10" s="719" t="s">
        <v>714</v>
      </c>
      <c r="B10" s="693" t="s">
        <v>713</v>
      </c>
      <c r="C10" s="693" t="s">
        <v>404</v>
      </c>
      <c r="D10" s="693" t="s">
        <v>568</v>
      </c>
      <c r="E10" s="693" t="s">
        <v>567</v>
      </c>
      <c r="F10" s="712" t="s">
        <v>405</v>
      </c>
      <c r="G10" s="706" t="s">
        <v>406</v>
      </c>
      <c r="H10" s="693" t="s">
        <v>407</v>
      </c>
      <c r="I10" s="696" t="s">
        <v>579</v>
      </c>
      <c r="J10" s="706" t="s">
        <v>408</v>
      </c>
      <c r="K10" s="696" t="s">
        <v>580</v>
      </c>
      <c r="L10" s="706" t="s">
        <v>409</v>
      </c>
      <c r="M10" s="706" t="s">
        <v>410</v>
      </c>
      <c r="N10" s="693" t="s">
        <v>411</v>
      </c>
      <c r="O10" s="693" t="s">
        <v>571</v>
      </c>
      <c r="P10" s="700" t="s">
        <v>642</v>
      </c>
      <c r="Q10" s="701"/>
      <c r="R10" s="701"/>
      <c r="S10" s="701"/>
      <c r="T10" s="702"/>
    </row>
    <row r="11" spans="1:21" s="299" customFormat="1" ht="12" customHeight="1">
      <c r="A11" s="720"/>
      <c r="B11" s="694"/>
      <c r="C11" s="694"/>
      <c r="D11" s="694"/>
      <c r="E11" s="694"/>
      <c r="F11" s="713"/>
      <c r="G11" s="707"/>
      <c r="H11" s="694"/>
      <c r="I11" s="717"/>
      <c r="J11" s="707"/>
      <c r="K11" s="717"/>
      <c r="L11" s="707"/>
      <c r="M11" s="707"/>
      <c r="N11" s="694"/>
      <c r="O11" s="694"/>
      <c r="P11" s="703" t="s">
        <v>246</v>
      </c>
      <c r="Q11" s="704" t="s">
        <v>405</v>
      </c>
      <c r="R11" s="704" t="s">
        <v>408</v>
      </c>
      <c r="S11" s="704" t="s">
        <v>409</v>
      </c>
      <c r="T11" s="704" t="s">
        <v>410</v>
      </c>
    </row>
    <row r="12" spans="1:21" s="299" customFormat="1" ht="12" customHeight="1">
      <c r="A12" s="720"/>
      <c r="B12" s="694"/>
      <c r="C12" s="694"/>
      <c r="D12" s="694"/>
      <c r="E12" s="694"/>
      <c r="F12" s="713"/>
      <c r="G12" s="707"/>
      <c r="H12" s="694"/>
      <c r="I12" s="717"/>
      <c r="J12" s="707"/>
      <c r="K12" s="717"/>
      <c r="L12" s="707"/>
      <c r="M12" s="707"/>
      <c r="N12" s="694"/>
      <c r="O12" s="694"/>
      <c r="P12" s="703"/>
      <c r="Q12" s="704"/>
      <c r="R12" s="704"/>
      <c r="S12" s="704"/>
      <c r="T12" s="704"/>
    </row>
    <row r="13" spans="1:21" s="299" customFormat="1" ht="12" customHeight="1">
      <c r="A13" s="720"/>
      <c r="B13" s="694"/>
      <c r="C13" s="694"/>
      <c r="D13" s="694"/>
      <c r="E13" s="694"/>
      <c r="F13" s="713"/>
      <c r="G13" s="707"/>
      <c r="H13" s="694"/>
      <c r="I13" s="717"/>
      <c r="J13" s="707"/>
      <c r="K13" s="717"/>
      <c r="L13" s="707"/>
      <c r="M13" s="707"/>
      <c r="N13" s="694"/>
      <c r="O13" s="694"/>
      <c r="P13" s="703"/>
      <c r="Q13" s="704"/>
      <c r="R13" s="704"/>
      <c r="S13" s="704"/>
      <c r="T13" s="704"/>
    </row>
    <row r="14" spans="1:21" s="299" customFormat="1" ht="12" customHeight="1">
      <c r="A14" s="721"/>
      <c r="B14" s="695"/>
      <c r="C14" s="695"/>
      <c r="D14" s="695"/>
      <c r="E14" s="695"/>
      <c r="F14" s="714"/>
      <c r="G14" s="708"/>
      <c r="H14" s="695"/>
      <c r="I14" s="718"/>
      <c r="J14" s="708"/>
      <c r="K14" s="718"/>
      <c r="L14" s="708"/>
      <c r="M14" s="708"/>
      <c r="N14" s="695"/>
      <c r="O14" s="695"/>
      <c r="P14" s="703"/>
      <c r="Q14" s="704"/>
      <c r="R14" s="704"/>
      <c r="S14" s="704"/>
      <c r="T14" s="704"/>
    </row>
    <row r="15" spans="1:21">
      <c r="A15" s="347"/>
      <c r="B15" s="347"/>
      <c r="C15" s="347"/>
      <c r="D15" s="347"/>
      <c r="E15" s="347"/>
      <c r="F15" s="348"/>
      <c r="G15" s="348"/>
      <c r="H15" s="347"/>
      <c r="I15" s="348"/>
      <c r="J15" s="348"/>
      <c r="K15" s="347"/>
      <c r="L15" s="348"/>
      <c r="M15" s="348" t="str">
        <f>IF(F15&lt;&gt;"",F15*J15*L15,"")</f>
        <v/>
      </c>
      <c r="N15" s="347" t="str">
        <f>IF(F15&lt;&gt;"","None","")</f>
        <v/>
      </c>
      <c r="O15" s="347"/>
      <c r="P15" s="347"/>
      <c r="Q15" s="348"/>
      <c r="R15" s="348"/>
      <c r="S15" s="348"/>
      <c r="T15" s="350" t="str">
        <f>IF(Q15&lt;&gt;"",Q15*R15*S15,"")</f>
        <v/>
      </c>
    </row>
    <row r="16" spans="1:21">
      <c r="A16" s="347"/>
      <c r="B16" s="347"/>
      <c r="C16" s="347"/>
      <c r="D16" s="347"/>
      <c r="E16" s="347"/>
      <c r="F16" s="348"/>
      <c r="G16" s="348"/>
      <c r="H16" s="347"/>
      <c r="I16" s="348"/>
      <c r="J16" s="348"/>
      <c r="K16" s="347"/>
      <c r="L16" s="348"/>
      <c r="M16" s="348" t="str">
        <f t="shared" ref="M16:M48" si="0">IF(F16&lt;&gt;"",F16*J16*L16,"")</f>
        <v/>
      </c>
      <c r="N16" s="347" t="str">
        <f t="shared" ref="N16:N48" si="1">IF(F16&lt;&gt;"","None","")</f>
        <v/>
      </c>
      <c r="O16" s="347"/>
      <c r="P16" s="347"/>
      <c r="Q16" s="348"/>
      <c r="R16" s="348"/>
      <c r="S16" s="348"/>
      <c r="T16" s="350" t="str">
        <f t="shared" ref="T16:T48" si="2">IF(Q16&lt;&gt;"",Q16*R16*S16,"")</f>
        <v/>
      </c>
    </row>
    <row r="17" spans="1:20">
      <c r="A17" s="347"/>
      <c r="B17" s="347"/>
      <c r="C17" s="347"/>
      <c r="D17" s="347"/>
      <c r="E17" s="347"/>
      <c r="F17" s="348"/>
      <c r="G17" s="348"/>
      <c r="H17" s="347"/>
      <c r="I17" s="348"/>
      <c r="J17" s="348"/>
      <c r="K17" s="347"/>
      <c r="L17" s="348"/>
      <c r="M17" s="348" t="str">
        <f t="shared" si="0"/>
        <v/>
      </c>
      <c r="N17" s="347" t="str">
        <f t="shared" si="1"/>
        <v/>
      </c>
      <c r="O17" s="347"/>
      <c r="P17" s="347"/>
      <c r="Q17" s="348"/>
      <c r="R17" s="348"/>
      <c r="S17" s="348"/>
      <c r="T17" s="350" t="str">
        <f t="shared" si="2"/>
        <v/>
      </c>
    </row>
    <row r="18" spans="1:20">
      <c r="A18" s="347"/>
      <c r="B18" s="347"/>
      <c r="C18" s="347"/>
      <c r="D18" s="347"/>
      <c r="E18" s="347"/>
      <c r="F18" s="348"/>
      <c r="G18" s="348"/>
      <c r="H18" s="347"/>
      <c r="I18" s="348"/>
      <c r="J18" s="348"/>
      <c r="K18" s="347"/>
      <c r="L18" s="348"/>
      <c r="M18" s="348" t="str">
        <f t="shared" si="0"/>
        <v/>
      </c>
      <c r="N18" s="347" t="str">
        <f t="shared" si="1"/>
        <v/>
      </c>
      <c r="O18" s="347"/>
      <c r="P18" s="347"/>
      <c r="Q18" s="348"/>
      <c r="R18" s="348"/>
      <c r="S18" s="348"/>
      <c r="T18" s="350" t="str">
        <f t="shared" si="2"/>
        <v/>
      </c>
    </row>
    <row r="19" spans="1:20">
      <c r="A19" s="347"/>
      <c r="B19" s="347"/>
      <c r="C19" s="347"/>
      <c r="D19" s="347"/>
      <c r="E19" s="347"/>
      <c r="F19" s="348"/>
      <c r="G19" s="348"/>
      <c r="H19" s="347"/>
      <c r="I19" s="348"/>
      <c r="J19" s="348"/>
      <c r="K19" s="347"/>
      <c r="L19" s="348"/>
      <c r="M19" s="348" t="str">
        <f t="shared" si="0"/>
        <v/>
      </c>
      <c r="N19" s="347" t="str">
        <f t="shared" si="1"/>
        <v/>
      </c>
      <c r="O19" s="347"/>
      <c r="P19" s="347"/>
      <c r="Q19" s="348"/>
      <c r="R19" s="348"/>
      <c r="S19" s="348"/>
      <c r="T19" s="350" t="str">
        <f t="shared" si="2"/>
        <v/>
      </c>
    </row>
    <row r="20" spans="1:20">
      <c r="A20" s="347"/>
      <c r="B20" s="347"/>
      <c r="C20" s="347"/>
      <c r="D20" s="347"/>
      <c r="E20" s="347"/>
      <c r="F20" s="348"/>
      <c r="G20" s="348"/>
      <c r="H20" s="347"/>
      <c r="I20" s="348"/>
      <c r="J20" s="348"/>
      <c r="K20" s="347"/>
      <c r="L20" s="348"/>
      <c r="M20" s="348" t="str">
        <f t="shared" si="0"/>
        <v/>
      </c>
      <c r="N20" s="347" t="str">
        <f t="shared" si="1"/>
        <v/>
      </c>
      <c r="O20" s="347"/>
      <c r="P20" s="347"/>
      <c r="Q20" s="348"/>
      <c r="R20" s="348"/>
      <c r="S20" s="348"/>
      <c r="T20" s="350" t="str">
        <f t="shared" si="2"/>
        <v/>
      </c>
    </row>
    <row r="21" spans="1:20">
      <c r="A21" s="347"/>
      <c r="B21" s="347"/>
      <c r="C21" s="347"/>
      <c r="D21" s="347"/>
      <c r="E21" s="347"/>
      <c r="F21" s="348"/>
      <c r="G21" s="348"/>
      <c r="H21" s="347"/>
      <c r="I21" s="348"/>
      <c r="J21" s="348"/>
      <c r="K21" s="347"/>
      <c r="L21" s="348"/>
      <c r="M21" s="348" t="str">
        <f t="shared" si="0"/>
        <v/>
      </c>
      <c r="N21" s="347" t="str">
        <f t="shared" si="1"/>
        <v/>
      </c>
      <c r="O21" s="347"/>
      <c r="P21" s="347"/>
      <c r="Q21" s="348"/>
      <c r="R21" s="348"/>
      <c r="S21" s="348"/>
      <c r="T21" s="350" t="str">
        <f t="shared" si="2"/>
        <v/>
      </c>
    </row>
    <row r="22" spans="1:20">
      <c r="A22" s="347"/>
      <c r="B22" s="347"/>
      <c r="C22" s="347"/>
      <c r="D22" s="347"/>
      <c r="E22" s="347"/>
      <c r="F22" s="348"/>
      <c r="G22" s="348"/>
      <c r="H22" s="347"/>
      <c r="I22" s="348"/>
      <c r="J22" s="348"/>
      <c r="K22" s="347"/>
      <c r="L22" s="348"/>
      <c r="M22" s="348" t="str">
        <f t="shared" si="0"/>
        <v/>
      </c>
      <c r="N22" s="347" t="str">
        <f t="shared" si="1"/>
        <v/>
      </c>
      <c r="O22" s="347"/>
      <c r="P22" s="347"/>
      <c r="Q22" s="348"/>
      <c r="R22" s="348"/>
      <c r="S22" s="348"/>
      <c r="T22" s="350" t="str">
        <f t="shared" si="2"/>
        <v/>
      </c>
    </row>
    <row r="23" spans="1:20">
      <c r="A23" s="347"/>
      <c r="B23" s="347"/>
      <c r="C23" s="347"/>
      <c r="D23" s="347"/>
      <c r="E23" s="347"/>
      <c r="F23" s="348"/>
      <c r="G23" s="348"/>
      <c r="H23" s="347"/>
      <c r="I23" s="348"/>
      <c r="J23" s="348"/>
      <c r="K23" s="347"/>
      <c r="L23" s="348"/>
      <c r="M23" s="348" t="str">
        <f t="shared" si="0"/>
        <v/>
      </c>
      <c r="N23" s="347" t="str">
        <f t="shared" si="1"/>
        <v/>
      </c>
      <c r="O23" s="347"/>
      <c r="P23" s="347"/>
      <c r="Q23" s="348"/>
      <c r="R23" s="348"/>
      <c r="S23" s="348"/>
      <c r="T23" s="350" t="str">
        <f t="shared" si="2"/>
        <v/>
      </c>
    </row>
    <row r="24" spans="1:20">
      <c r="A24" s="347"/>
      <c r="B24" s="347"/>
      <c r="C24" s="347"/>
      <c r="D24" s="347"/>
      <c r="E24" s="347"/>
      <c r="F24" s="348"/>
      <c r="G24" s="348"/>
      <c r="H24" s="347"/>
      <c r="I24" s="348"/>
      <c r="J24" s="348"/>
      <c r="K24" s="347"/>
      <c r="L24" s="348"/>
      <c r="M24" s="348" t="str">
        <f t="shared" si="0"/>
        <v/>
      </c>
      <c r="N24" s="347" t="str">
        <f t="shared" si="1"/>
        <v/>
      </c>
      <c r="O24" s="347"/>
      <c r="P24" s="347"/>
      <c r="Q24" s="348"/>
      <c r="R24" s="348"/>
      <c r="S24" s="348"/>
      <c r="T24" s="350" t="str">
        <f t="shared" si="2"/>
        <v/>
      </c>
    </row>
    <row r="25" spans="1:20">
      <c r="A25" s="347"/>
      <c r="B25" s="347"/>
      <c r="C25" s="347"/>
      <c r="D25" s="347"/>
      <c r="E25" s="347"/>
      <c r="F25" s="348"/>
      <c r="G25" s="348"/>
      <c r="H25" s="347"/>
      <c r="I25" s="348"/>
      <c r="J25" s="348"/>
      <c r="K25" s="347"/>
      <c r="L25" s="348"/>
      <c r="M25" s="348" t="str">
        <f t="shared" si="0"/>
        <v/>
      </c>
      <c r="N25" s="347" t="str">
        <f t="shared" si="1"/>
        <v/>
      </c>
      <c r="O25" s="347"/>
      <c r="P25" s="347"/>
      <c r="Q25" s="348"/>
      <c r="R25" s="348"/>
      <c r="S25" s="348"/>
      <c r="T25" s="350" t="str">
        <f t="shared" si="2"/>
        <v/>
      </c>
    </row>
    <row r="26" spans="1:20">
      <c r="A26" s="347"/>
      <c r="B26" s="347"/>
      <c r="C26" s="347"/>
      <c r="D26" s="347"/>
      <c r="E26" s="347"/>
      <c r="F26" s="348"/>
      <c r="G26" s="348"/>
      <c r="H26" s="347"/>
      <c r="I26" s="348"/>
      <c r="J26" s="348"/>
      <c r="K26" s="347"/>
      <c r="L26" s="348"/>
      <c r="M26" s="348" t="str">
        <f t="shared" si="0"/>
        <v/>
      </c>
      <c r="N26" s="347" t="str">
        <f t="shared" si="1"/>
        <v/>
      </c>
      <c r="O26" s="347"/>
      <c r="P26" s="347"/>
      <c r="Q26" s="348"/>
      <c r="R26" s="348"/>
      <c r="S26" s="348"/>
      <c r="T26" s="350" t="str">
        <f t="shared" si="2"/>
        <v/>
      </c>
    </row>
    <row r="27" spans="1:20">
      <c r="A27" s="347"/>
      <c r="B27" s="347"/>
      <c r="C27" s="347"/>
      <c r="D27" s="347"/>
      <c r="E27" s="347"/>
      <c r="F27" s="348"/>
      <c r="G27" s="348"/>
      <c r="H27" s="347"/>
      <c r="I27" s="348"/>
      <c r="J27" s="348"/>
      <c r="K27" s="347"/>
      <c r="L27" s="348"/>
      <c r="M27" s="348" t="str">
        <f t="shared" si="0"/>
        <v/>
      </c>
      <c r="N27" s="347" t="str">
        <f t="shared" si="1"/>
        <v/>
      </c>
      <c r="O27" s="347"/>
      <c r="P27" s="347"/>
      <c r="Q27" s="348"/>
      <c r="R27" s="348"/>
      <c r="S27" s="348"/>
      <c r="T27" s="350" t="str">
        <f t="shared" si="2"/>
        <v/>
      </c>
    </row>
    <row r="28" spans="1:20">
      <c r="A28" s="347"/>
      <c r="B28" s="347"/>
      <c r="C28" s="347"/>
      <c r="D28" s="347"/>
      <c r="E28" s="347"/>
      <c r="F28" s="348"/>
      <c r="G28" s="348"/>
      <c r="H28" s="347"/>
      <c r="I28" s="348"/>
      <c r="J28" s="348"/>
      <c r="K28" s="347"/>
      <c r="L28" s="348"/>
      <c r="M28" s="348" t="str">
        <f t="shared" si="0"/>
        <v/>
      </c>
      <c r="N28" s="347" t="str">
        <f t="shared" si="1"/>
        <v/>
      </c>
      <c r="O28" s="347"/>
      <c r="P28" s="347"/>
      <c r="Q28" s="348"/>
      <c r="R28" s="348"/>
      <c r="S28" s="348"/>
      <c r="T28" s="350" t="str">
        <f t="shared" si="2"/>
        <v/>
      </c>
    </row>
    <row r="29" spans="1:20">
      <c r="A29" s="347"/>
      <c r="B29" s="347"/>
      <c r="C29" s="347"/>
      <c r="D29" s="347"/>
      <c r="E29" s="347"/>
      <c r="F29" s="348"/>
      <c r="G29" s="348"/>
      <c r="H29" s="347"/>
      <c r="I29" s="348"/>
      <c r="J29" s="348"/>
      <c r="K29" s="347"/>
      <c r="L29" s="348"/>
      <c r="M29" s="348" t="str">
        <f t="shared" si="0"/>
        <v/>
      </c>
      <c r="N29" s="347" t="str">
        <f t="shared" si="1"/>
        <v/>
      </c>
      <c r="O29" s="347"/>
      <c r="P29" s="347"/>
      <c r="Q29" s="348"/>
      <c r="R29" s="348"/>
      <c r="S29" s="348"/>
      <c r="T29" s="350" t="str">
        <f t="shared" si="2"/>
        <v/>
      </c>
    </row>
    <row r="30" spans="1:20">
      <c r="A30" s="347"/>
      <c r="B30" s="347"/>
      <c r="C30" s="347"/>
      <c r="D30" s="347"/>
      <c r="E30" s="347"/>
      <c r="F30" s="348"/>
      <c r="G30" s="348"/>
      <c r="H30" s="347"/>
      <c r="I30" s="348"/>
      <c r="J30" s="348"/>
      <c r="K30" s="347"/>
      <c r="L30" s="348"/>
      <c r="M30" s="348" t="str">
        <f t="shared" si="0"/>
        <v/>
      </c>
      <c r="N30" s="347" t="str">
        <f t="shared" si="1"/>
        <v/>
      </c>
      <c r="O30" s="347"/>
      <c r="P30" s="347"/>
      <c r="Q30" s="348"/>
      <c r="R30" s="348"/>
      <c r="S30" s="348"/>
      <c r="T30" s="350" t="str">
        <f t="shared" si="2"/>
        <v/>
      </c>
    </row>
    <row r="31" spans="1:20">
      <c r="A31" s="347"/>
      <c r="B31" s="347"/>
      <c r="C31" s="347"/>
      <c r="D31" s="347"/>
      <c r="E31" s="347"/>
      <c r="F31" s="348"/>
      <c r="G31" s="348"/>
      <c r="H31" s="347"/>
      <c r="I31" s="348"/>
      <c r="J31" s="348"/>
      <c r="K31" s="347"/>
      <c r="L31" s="348"/>
      <c r="M31" s="348" t="str">
        <f t="shared" si="0"/>
        <v/>
      </c>
      <c r="N31" s="347" t="str">
        <f t="shared" si="1"/>
        <v/>
      </c>
      <c r="O31" s="347"/>
      <c r="P31" s="347"/>
      <c r="Q31" s="348"/>
      <c r="R31" s="348"/>
      <c r="S31" s="348"/>
      <c r="T31" s="350" t="str">
        <f t="shared" si="2"/>
        <v/>
      </c>
    </row>
    <row r="32" spans="1:20">
      <c r="A32" s="347"/>
      <c r="B32" s="347"/>
      <c r="C32" s="347"/>
      <c r="D32" s="347"/>
      <c r="E32" s="347"/>
      <c r="F32" s="348"/>
      <c r="G32" s="348"/>
      <c r="H32" s="347"/>
      <c r="I32" s="348"/>
      <c r="J32" s="348"/>
      <c r="K32" s="347"/>
      <c r="L32" s="348"/>
      <c r="M32" s="348" t="str">
        <f t="shared" si="0"/>
        <v/>
      </c>
      <c r="N32" s="347" t="str">
        <f t="shared" si="1"/>
        <v/>
      </c>
      <c r="O32" s="347"/>
      <c r="P32" s="347"/>
      <c r="Q32" s="348"/>
      <c r="R32" s="348"/>
      <c r="S32" s="348"/>
      <c r="T32" s="350" t="str">
        <f t="shared" si="2"/>
        <v/>
      </c>
    </row>
    <row r="33" spans="1:20">
      <c r="A33" s="347"/>
      <c r="B33" s="347"/>
      <c r="C33" s="347"/>
      <c r="D33" s="347"/>
      <c r="E33" s="347"/>
      <c r="F33" s="348"/>
      <c r="G33" s="348"/>
      <c r="H33" s="347"/>
      <c r="I33" s="348"/>
      <c r="J33" s="348"/>
      <c r="K33" s="347"/>
      <c r="L33" s="348"/>
      <c r="M33" s="348" t="str">
        <f t="shared" si="0"/>
        <v/>
      </c>
      <c r="N33" s="347" t="str">
        <f t="shared" si="1"/>
        <v/>
      </c>
      <c r="O33" s="347"/>
      <c r="P33" s="347"/>
      <c r="Q33" s="348"/>
      <c r="R33" s="348"/>
      <c r="S33" s="348"/>
      <c r="T33" s="350" t="str">
        <f t="shared" si="2"/>
        <v/>
      </c>
    </row>
    <row r="34" spans="1:20">
      <c r="A34" s="347"/>
      <c r="B34" s="347"/>
      <c r="C34" s="347"/>
      <c r="D34" s="347"/>
      <c r="E34" s="347"/>
      <c r="F34" s="348"/>
      <c r="G34" s="348"/>
      <c r="H34" s="347"/>
      <c r="I34" s="348"/>
      <c r="J34" s="348"/>
      <c r="K34" s="347"/>
      <c r="L34" s="348"/>
      <c r="M34" s="348" t="str">
        <f t="shared" si="0"/>
        <v/>
      </c>
      <c r="N34" s="347" t="str">
        <f t="shared" si="1"/>
        <v/>
      </c>
      <c r="O34" s="347"/>
      <c r="P34" s="347"/>
      <c r="Q34" s="348"/>
      <c r="R34" s="348"/>
      <c r="S34" s="348"/>
      <c r="T34" s="350" t="str">
        <f t="shared" si="2"/>
        <v/>
      </c>
    </row>
    <row r="35" spans="1:20">
      <c r="A35" s="347"/>
      <c r="B35" s="347"/>
      <c r="C35" s="347"/>
      <c r="D35" s="347"/>
      <c r="E35" s="347"/>
      <c r="F35" s="348"/>
      <c r="G35" s="348"/>
      <c r="H35" s="347"/>
      <c r="I35" s="348"/>
      <c r="J35" s="348"/>
      <c r="K35" s="347"/>
      <c r="L35" s="348"/>
      <c r="M35" s="348" t="str">
        <f t="shared" si="0"/>
        <v/>
      </c>
      <c r="N35" s="347" t="str">
        <f t="shared" si="1"/>
        <v/>
      </c>
      <c r="O35" s="347"/>
      <c r="P35" s="347"/>
      <c r="Q35" s="348"/>
      <c r="R35" s="348"/>
      <c r="S35" s="348"/>
      <c r="T35" s="350" t="str">
        <f t="shared" si="2"/>
        <v/>
      </c>
    </row>
    <row r="36" spans="1:20">
      <c r="A36" s="347"/>
      <c r="B36" s="347"/>
      <c r="C36" s="347"/>
      <c r="D36" s="347"/>
      <c r="E36" s="347"/>
      <c r="F36" s="348"/>
      <c r="G36" s="348"/>
      <c r="H36" s="347"/>
      <c r="I36" s="348"/>
      <c r="J36" s="348"/>
      <c r="K36" s="347"/>
      <c r="L36" s="348"/>
      <c r="M36" s="348" t="str">
        <f t="shared" si="0"/>
        <v/>
      </c>
      <c r="N36" s="347" t="str">
        <f t="shared" si="1"/>
        <v/>
      </c>
      <c r="O36" s="347"/>
      <c r="P36" s="347"/>
      <c r="Q36" s="348"/>
      <c r="R36" s="348"/>
      <c r="S36" s="348"/>
      <c r="T36" s="350" t="str">
        <f t="shared" si="2"/>
        <v/>
      </c>
    </row>
    <row r="37" spans="1:20">
      <c r="A37" s="347"/>
      <c r="B37" s="347"/>
      <c r="C37" s="347"/>
      <c r="D37" s="347"/>
      <c r="E37" s="347"/>
      <c r="F37" s="348"/>
      <c r="G37" s="348"/>
      <c r="H37" s="347"/>
      <c r="I37" s="348"/>
      <c r="J37" s="348"/>
      <c r="K37" s="347"/>
      <c r="L37" s="348"/>
      <c r="M37" s="348" t="str">
        <f t="shared" si="0"/>
        <v/>
      </c>
      <c r="N37" s="347" t="str">
        <f t="shared" si="1"/>
        <v/>
      </c>
      <c r="O37" s="347"/>
      <c r="P37" s="347"/>
      <c r="Q37" s="348"/>
      <c r="R37" s="348"/>
      <c r="S37" s="348"/>
      <c r="T37" s="350" t="str">
        <f t="shared" si="2"/>
        <v/>
      </c>
    </row>
    <row r="38" spans="1:20">
      <c r="A38" s="347"/>
      <c r="B38" s="347"/>
      <c r="C38" s="347"/>
      <c r="D38" s="347"/>
      <c r="E38" s="347"/>
      <c r="F38" s="348"/>
      <c r="G38" s="348"/>
      <c r="H38" s="347"/>
      <c r="I38" s="348"/>
      <c r="J38" s="348"/>
      <c r="K38" s="347"/>
      <c r="L38" s="348"/>
      <c r="M38" s="348" t="str">
        <f t="shared" si="0"/>
        <v/>
      </c>
      <c r="N38" s="347" t="str">
        <f t="shared" si="1"/>
        <v/>
      </c>
      <c r="O38" s="347"/>
      <c r="P38" s="347"/>
      <c r="Q38" s="348"/>
      <c r="R38" s="348"/>
      <c r="S38" s="348"/>
      <c r="T38" s="350" t="str">
        <f t="shared" si="2"/>
        <v/>
      </c>
    </row>
    <row r="39" spans="1:20">
      <c r="A39" s="347"/>
      <c r="B39" s="347"/>
      <c r="C39" s="347"/>
      <c r="D39" s="347"/>
      <c r="E39" s="347"/>
      <c r="F39" s="348"/>
      <c r="G39" s="348"/>
      <c r="H39" s="347"/>
      <c r="I39" s="348"/>
      <c r="J39" s="348"/>
      <c r="K39" s="347"/>
      <c r="L39" s="348"/>
      <c r="M39" s="348" t="str">
        <f t="shared" si="0"/>
        <v/>
      </c>
      <c r="N39" s="347" t="str">
        <f t="shared" si="1"/>
        <v/>
      </c>
      <c r="O39" s="347"/>
      <c r="P39" s="347"/>
      <c r="Q39" s="348"/>
      <c r="R39" s="348"/>
      <c r="S39" s="348"/>
      <c r="T39" s="350" t="str">
        <f t="shared" si="2"/>
        <v/>
      </c>
    </row>
    <row r="40" spans="1:20">
      <c r="A40" s="347"/>
      <c r="B40" s="347"/>
      <c r="C40" s="347"/>
      <c r="D40" s="347"/>
      <c r="E40" s="347"/>
      <c r="F40" s="348"/>
      <c r="G40" s="348"/>
      <c r="H40" s="347"/>
      <c r="I40" s="348"/>
      <c r="J40" s="348"/>
      <c r="K40" s="347"/>
      <c r="L40" s="348"/>
      <c r="M40" s="348" t="str">
        <f t="shared" si="0"/>
        <v/>
      </c>
      <c r="N40" s="347" t="str">
        <f t="shared" si="1"/>
        <v/>
      </c>
      <c r="O40" s="347"/>
      <c r="P40" s="347"/>
      <c r="Q40" s="348"/>
      <c r="R40" s="348"/>
      <c r="S40" s="348"/>
      <c r="T40" s="350" t="str">
        <f t="shared" si="2"/>
        <v/>
      </c>
    </row>
    <row r="41" spans="1:20">
      <c r="A41" s="347"/>
      <c r="B41" s="347"/>
      <c r="C41" s="347"/>
      <c r="D41" s="347"/>
      <c r="E41" s="347"/>
      <c r="F41" s="348"/>
      <c r="G41" s="348"/>
      <c r="H41" s="347"/>
      <c r="I41" s="348"/>
      <c r="J41" s="348"/>
      <c r="K41" s="347"/>
      <c r="L41" s="348"/>
      <c r="M41" s="348" t="str">
        <f t="shared" si="0"/>
        <v/>
      </c>
      <c r="N41" s="347" t="str">
        <f t="shared" si="1"/>
        <v/>
      </c>
      <c r="O41" s="347"/>
      <c r="P41" s="347"/>
      <c r="Q41" s="348"/>
      <c r="R41" s="348"/>
      <c r="S41" s="348"/>
      <c r="T41" s="350" t="str">
        <f t="shared" si="2"/>
        <v/>
      </c>
    </row>
    <row r="42" spans="1:20">
      <c r="A42" s="347"/>
      <c r="B42" s="347"/>
      <c r="C42" s="347"/>
      <c r="D42" s="347"/>
      <c r="E42" s="347"/>
      <c r="F42" s="348"/>
      <c r="G42" s="348"/>
      <c r="H42" s="347"/>
      <c r="I42" s="348"/>
      <c r="J42" s="348"/>
      <c r="K42" s="347"/>
      <c r="L42" s="348"/>
      <c r="M42" s="348" t="str">
        <f t="shared" si="0"/>
        <v/>
      </c>
      <c r="N42" s="347" t="str">
        <f t="shared" si="1"/>
        <v/>
      </c>
      <c r="O42" s="347"/>
      <c r="P42" s="347"/>
      <c r="Q42" s="348"/>
      <c r="R42" s="348"/>
      <c r="S42" s="348"/>
      <c r="T42" s="350" t="str">
        <f t="shared" si="2"/>
        <v/>
      </c>
    </row>
    <row r="43" spans="1:20">
      <c r="A43" s="347"/>
      <c r="B43" s="347"/>
      <c r="C43" s="347"/>
      <c r="D43" s="347"/>
      <c r="E43" s="347"/>
      <c r="F43" s="348"/>
      <c r="G43" s="348"/>
      <c r="H43" s="347"/>
      <c r="I43" s="348"/>
      <c r="J43" s="348"/>
      <c r="K43" s="347"/>
      <c r="L43" s="348"/>
      <c r="M43" s="348" t="str">
        <f t="shared" si="0"/>
        <v/>
      </c>
      <c r="N43" s="347" t="str">
        <f t="shared" si="1"/>
        <v/>
      </c>
      <c r="O43" s="347"/>
      <c r="P43" s="347"/>
      <c r="Q43" s="348"/>
      <c r="R43" s="348"/>
      <c r="S43" s="348"/>
      <c r="T43" s="350" t="str">
        <f t="shared" si="2"/>
        <v/>
      </c>
    </row>
    <row r="44" spans="1:20">
      <c r="A44" s="347"/>
      <c r="B44" s="347"/>
      <c r="C44" s="347"/>
      <c r="D44" s="347"/>
      <c r="E44" s="347"/>
      <c r="F44" s="348"/>
      <c r="G44" s="348"/>
      <c r="H44" s="347"/>
      <c r="I44" s="348"/>
      <c r="J44" s="348"/>
      <c r="K44" s="347"/>
      <c r="L44" s="348"/>
      <c r="M44" s="348" t="str">
        <f t="shared" si="0"/>
        <v/>
      </c>
      <c r="N44" s="347" t="str">
        <f t="shared" si="1"/>
        <v/>
      </c>
      <c r="O44" s="347"/>
      <c r="P44" s="347"/>
      <c r="Q44" s="348"/>
      <c r="R44" s="348"/>
      <c r="S44" s="348"/>
      <c r="T44" s="350" t="str">
        <f t="shared" si="2"/>
        <v/>
      </c>
    </row>
    <row r="45" spans="1:20">
      <c r="A45" s="347"/>
      <c r="B45" s="347"/>
      <c r="C45" s="347"/>
      <c r="D45" s="347"/>
      <c r="E45" s="347"/>
      <c r="F45" s="348"/>
      <c r="G45" s="348"/>
      <c r="H45" s="347"/>
      <c r="I45" s="348"/>
      <c r="J45" s="348"/>
      <c r="K45" s="347"/>
      <c r="L45" s="348"/>
      <c r="M45" s="348" t="str">
        <f t="shared" si="0"/>
        <v/>
      </c>
      <c r="N45" s="347" t="str">
        <f t="shared" si="1"/>
        <v/>
      </c>
      <c r="O45" s="347"/>
      <c r="P45" s="347"/>
      <c r="Q45" s="348"/>
      <c r="R45" s="348"/>
      <c r="S45" s="348"/>
      <c r="T45" s="350" t="str">
        <f t="shared" si="2"/>
        <v/>
      </c>
    </row>
    <row r="46" spans="1:20">
      <c r="A46" s="347"/>
      <c r="B46" s="347"/>
      <c r="C46" s="347"/>
      <c r="D46" s="347"/>
      <c r="E46" s="347"/>
      <c r="F46" s="348"/>
      <c r="G46" s="348"/>
      <c r="H46" s="347"/>
      <c r="I46" s="348"/>
      <c r="J46" s="348"/>
      <c r="K46" s="347"/>
      <c r="L46" s="348"/>
      <c r="M46" s="348" t="str">
        <f t="shared" si="0"/>
        <v/>
      </c>
      <c r="N46" s="347" t="str">
        <f t="shared" si="1"/>
        <v/>
      </c>
      <c r="O46" s="347"/>
      <c r="P46" s="347"/>
      <c r="Q46" s="348"/>
      <c r="R46" s="348"/>
      <c r="S46" s="348"/>
      <c r="T46" s="350" t="str">
        <f t="shared" si="2"/>
        <v/>
      </c>
    </row>
    <row r="47" spans="1:20">
      <c r="A47" s="347"/>
      <c r="B47" s="347"/>
      <c r="C47" s="347"/>
      <c r="D47" s="347"/>
      <c r="E47" s="347"/>
      <c r="F47" s="348"/>
      <c r="G47" s="348"/>
      <c r="H47" s="347"/>
      <c r="I47" s="348"/>
      <c r="J47" s="348"/>
      <c r="K47" s="347"/>
      <c r="L47" s="348"/>
      <c r="M47" s="348" t="str">
        <f t="shared" si="0"/>
        <v/>
      </c>
      <c r="N47" s="347" t="str">
        <f t="shared" si="1"/>
        <v/>
      </c>
      <c r="O47" s="347"/>
      <c r="P47" s="347"/>
      <c r="Q47" s="348"/>
      <c r="R47" s="348"/>
      <c r="S47" s="348"/>
      <c r="T47" s="350" t="str">
        <f t="shared" si="2"/>
        <v/>
      </c>
    </row>
    <row r="48" spans="1:20">
      <c r="A48" s="351"/>
      <c r="B48" s="351"/>
      <c r="C48" s="351"/>
      <c r="D48" s="351"/>
      <c r="E48" s="351"/>
      <c r="F48" s="352"/>
      <c r="G48" s="352"/>
      <c r="H48" s="351"/>
      <c r="I48" s="352"/>
      <c r="J48" s="352"/>
      <c r="K48" s="351"/>
      <c r="L48" s="352"/>
      <c r="M48" s="353" t="str">
        <f t="shared" si="0"/>
        <v/>
      </c>
      <c r="N48" s="354" t="str">
        <f t="shared" si="1"/>
        <v/>
      </c>
      <c r="O48" s="351"/>
      <c r="P48" s="351"/>
      <c r="Q48" s="352"/>
      <c r="R48" s="352"/>
      <c r="S48" s="352"/>
      <c r="T48" s="353" t="str">
        <f t="shared" si="2"/>
        <v/>
      </c>
    </row>
  </sheetData>
  <mergeCells count="31">
    <mergeCell ref="P4:T4"/>
    <mergeCell ref="G1:M3"/>
    <mergeCell ref="C6:G6"/>
    <mergeCell ref="B8:T8"/>
    <mergeCell ref="N10:N14"/>
    <mergeCell ref="O10:O14"/>
    <mergeCell ref="P10:T10"/>
    <mergeCell ref="J6:M6"/>
    <mergeCell ref="P6:T6"/>
    <mergeCell ref="G10:G14"/>
    <mergeCell ref="H10:H14"/>
    <mergeCell ref="P11:P14"/>
    <mergeCell ref="F10:F14"/>
    <mergeCell ref="B2:F2"/>
    <mergeCell ref="P2:T2"/>
    <mergeCell ref="B4:F4"/>
    <mergeCell ref="J4:M4"/>
    <mergeCell ref="A10:A14"/>
    <mergeCell ref="B10:B14"/>
    <mergeCell ref="C10:C14"/>
    <mergeCell ref="D10:D14"/>
    <mergeCell ref="E10:E14"/>
    <mergeCell ref="Q11:Q14"/>
    <mergeCell ref="R11:R14"/>
    <mergeCell ref="S11:S14"/>
    <mergeCell ref="T11:T14"/>
    <mergeCell ref="I10:I14"/>
    <mergeCell ref="J10:J14"/>
    <mergeCell ref="K10:K14"/>
    <mergeCell ref="L10:L14"/>
    <mergeCell ref="M10:M14"/>
  </mergeCells>
  <printOptions horizontalCentered="1"/>
  <pageMargins left="0.25" right="0.25" top="1.1333333333333333" bottom="0.75" header="0.3" footer="0.3"/>
  <pageSetup scale="80" orientation="landscape" r:id="rId1"/>
  <headerFooter>
    <oddHeader>&amp;L&amp;G&amp;C&amp;"Arial,Bold"&amp;14PROCESS
FAILURE MODE AND EFFECTS ANALYSIS&amp;10
&amp;"Arial,Regular"(PROCESS FMEA)</oddHeader>
    <oddFooter>&amp;C&amp;F</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34"/>
  <sheetViews>
    <sheetView showGridLines="0" showRowColHeaders="0" view="pageLayout" zoomScaleNormal="100" workbookViewId="0">
      <selection activeCell="B1" sqref="B1"/>
    </sheetView>
  </sheetViews>
  <sheetFormatPr defaultColWidth="0" defaultRowHeight="12.75"/>
  <cols>
    <col min="1" max="1" width="3" style="357" bestFit="1" customWidth="1"/>
    <col min="2" max="2" width="19.42578125" style="357" customWidth="1"/>
    <col min="3" max="4" width="9.140625" style="357" customWidth="1"/>
    <col min="5" max="5" width="13.28515625" style="357" customWidth="1"/>
    <col min="6" max="9" width="9.140625" style="357" customWidth="1"/>
    <col min="10" max="10" width="0.7109375" style="291" customWidth="1"/>
    <col min="11" max="16384" width="9.140625" style="291" hidden="1"/>
  </cols>
  <sheetData>
    <row r="1" spans="1:9" ht="18">
      <c r="B1" s="368"/>
      <c r="C1" s="371" t="s">
        <v>703</v>
      </c>
      <c r="D1" s="369"/>
      <c r="E1" s="369"/>
    </row>
    <row r="2" spans="1:9">
      <c r="B2" s="370" t="s">
        <v>704</v>
      </c>
      <c r="C2" s="371"/>
      <c r="D2" s="371"/>
      <c r="E2" s="371"/>
    </row>
    <row r="3" spans="1:9">
      <c r="A3" s="653">
        <v>10</v>
      </c>
      <c r="B3" s="722" t="s">
        <v>762</v>
      </c>
      <c r="C3" s="722"/>
      <c r="D3" s="722"/>
      <c r="E3" s="722"/>
      <c r="F3" s="722"/>
      <c r="G3" s="654"/>
      <c r="H3" s="372"/>
      <c r="I3" s="372"/>
    </row>
    <row r="4" spans="1:9">
      <c r="A4" s="653">
        <v>9</v>
      </c>
      <c r="B4" s="722" t="s">
        <v>763</v>
      </c>
      <c r="C4" s="722"/>
      <c r="D4" s="722"/>
      <c r="E4" s="722"/>
      <c r="F4" s="722"/>
      <c r="G4" s="654"/>
      <c r="H4" s="372"/>
      <c r="I4" s="372"/>
    </row>
    <row r="5" spans="1:9">
      <c r="A5" s="653">
        <v>8</v>
      </c>
      <c r="B5" s="722" t="s">
        <v>764</v>
      </c>
      <c r="C5" s="722"/>
      <c r="D5" s="722"/>
      <c r="E5" s="722"/>
      <c r="F5" s="722"/>
      <c r="G5" s="654"/>
      <c r="H5" s="372"/>
      <c r="I5" s="372"/>
    </row>
    <row r="6" spans="1:9">
      <c r="A6" s="653">
        <v>7</v>
      </c>
      <c r="B6" s="722" t="s">
        <v>765</v>
      </c>
      <c r="C6" s="722"/>
      <c r="D6" s="722"/>
      <c r="E6" s="722"/>
      <c r="F6" s="722"/>
      <c r="G6" s="654"/>
      <c r="H6" s="372"/>
      <c r="I6" s="372"/>
    </row>
    <row r="7" spans="1:9">
      <c r="A7" s="653">
        <v>6</v>
      </c>
      <c r="B7" s="722" t="s">
        <v>766</v>
      </c>
      <c r="C7" s="722"/>
      <c r="D7" s="722"/>
      <c r="E7" s="722"/>
      <c r="F7" s="722"/>
      <c r="G7" s="654"/>
      <c r="H7" s="372"/>
      <c r="I7" s="372"/>
    </row>
    <row r="8" spans="1:9">
      <c r="A8" s="653">
        <v>5</v>
      </c>
      <c r="B8" s="722" t="s">
        <v>767</v>
      </c>
      <c r="C8" s="722"/>
      <c r="D8" s="722"/>
      <c r="E8" s="722"/>
      <c r="F8" s="722"/>
      <c r="G8" s="654"/>
      <c r="H8" s="372"/>
      <c r="I8" s="372"/>
    </row>
    <row r="9" spans="1:9">
      <c r="A9" s="653">
        <v>4</v>
      </c>
      <c r="B9" s="722" t="s">
        <v>768</v>
      </c>
      <c r="C9" s="722"/>
      <c r="D9" s="722"/>
      <c r="E9" s="722"/>
      <c r="F9" s="722"/>
      <c r="G9" s="654"/>
      <c r="H9" s="372"/>
      <c r="I9" s="372"/>
    </row>
    <row r="10" spans="1:9">
      <c r="A10" s="653">
        <v>3</v>
      </c>
      <c r="B10" s="722" t="s">
        <v>769</v>
      </c>
      <c r="C10" s="722"/>
      <c r="D10" s="722"/>
      <c r="E10" s="722"/>
      <c r="F10" s="722"/>
      <c r="G10" s="654"/>
      <c r="H10" s="372"/>
      <c r="I10" s="372"/>
    </row>
    <row r="11" spans="1:9">
      <c r="A11" s="653">
        <v>2</v>
      </c>
      <c r="B11" s="722" t="s">
        <v>770</v>
      </c>
      <c r="C11" s="722"/>
      <c r="D11" s="722"/>
      <c r="E11" s="722"/>
      <c r="F11" s="722"/>
      <c r="G11" s="654"/>
      <c r="H11" s="372"/>
      <c r="I11" s="372"/>
    </row>
    <row r="12" spans="1:9">
      <c r="A12" s="653">
        <v>1</v>
      </c>
      <c r="B12" s="722" t="s">
        <v>771</v>
      </c>
      <c r="C12" s="722"/>
      <c r="D12" s="722"/>
      <c r="E12" s="722"/>
      <c r="F12" s="722"/>
      <c r="G12" s="654"/>
      <c r="H12" s="372"/>
      <c r="I12" s="372"/>
    </row>
    <row r="13" spans="1:9" ht="38.25" customHeight="1">
      <c r="A13" s="655"/>
      <c r="B13" s="656" t="s">
        <v>705</v>
      </c>
      <c r="C13" s="655"/>
      <c r="D13" s="655"/>
      <c r="E13" s="655"/>
      <c r="F13" s="655"/>
      <c r="G13" s="655"/>
    </row>
    <row r="14" spans="1:9">
      <c r="A14" s="653">
        <v>10</v>
      </c>
      <c r="B14" s="657" t="s">
        <v>773</v>
      </c>
      <c r="C14" s="654" t="s">
        <v>772</v>
      </c>
      <c r="D14" s="654"/>
      <c r="E14" s="654"/>
      <c r="F14" s="654"/>
      <c r="G14" s="654"/>
      <c r="H14" s="372"/>
      <c r="I14" s="372"/>
    </row>
    <row r="15" spans="1:9">
      <c r="A15" s="653">
        <v>9</v>
      </c>
      <c r="B15" s="657" t="s">
        <v>773</v>
      </c>
      <c r="C15" s="654" t="s">
        <v>774</v>
      </c>
      <c r="D15" s="654"/>
      <c r="E15" s="654"/>
      <c r="F15" s="654"/>
      <c r="G15" s="654"/>
      <c r="H15" s="372"/>
      <c r="I15" s="372"/>
    </row>
    <row r="16" spans="1:9">
      <c r="A16" s="653">
        <v>8</v>
      </c>
      <c r="B16" s="657" t="s">
        <v>773</v>
      </c>
      <c r="C16" s="654" t="s">
        <v>776</v>
      </c>
      <c r="D16" s="654"/>
      <c r="E16" s="654"/>
      <c r="F16" s="654"/>
      <c r="G16" s="654"/>
      <c r="H16" s="372"/>
      <c r="I16" s="372"/>
    </row>
    <row r="17" spans="1:9">
      <c r="A17" s="653">
        <v>7</v>
      </c>
      <c r="B17" s="657" t="s">
        <v>773</v>
      </c>
      <c r="C17" s="654" t="s">
        <v>777</v>
      </c>
      <c r="D17" s="654"/>
      <c r="E17" s="654"/>
      <c r="F17" s="654"/>
      <c r="G17" s="654"/>
      <c r="H17" s="372"/>
      <c r="I17" s="372"/>
    </row>
    <row r="18" spans="1:9">
      <c r="A18" s="653">
        <v>6</v>
      </c>
      <c r="B18" s="657" t="s">
        <v>775</v>
      </c>
      <c r="C18" s="654" t="s">
        <v>774</v>
      </c>
      <c r="D18" s="654"/>
      <c r="E18" s="654"/>
      <c r="F18" s="654"/>
      <c r="G18" s="654"/>
      <c r="H18" s="372"/>
      <c r="I18" s="372"/>
    </row>
    <row r="19" spans="1:9">
      <c r="A19" s="653">
        <v>5</v>
      </c>
      <c r="B19" s="657" t="s">
        <v>775</v>
      </c>
      <c r="C19" s="654" t="s">
        <v>776</v>
      </c>
      <c r="D19" s="654"/>
      <c r="E19" s="654"/>
      <c r="F19" s="654"/>
      <c r="G19" s="654"/>
      <c r="H19" s="372"/>
      <c r="I19" s="372"/>
    </row>
    <row r="20" spans="1:9">
      <c r="A20" s="653">
        <v>4</v>
      </c>
      <c r="B20" s="657" t="s">
        <v>775</v>
      </c>
      <c r="C20" s="654" t="s">
        <v>777</v>
      </c>
      <c r="D20" s="654"/>
      <c r="E20" s="654"/>
      <c r="F20" s="654"/>
      <c r="G20" s="654"/>
      <c r="H20" s="372"/>
      <c r="I20" s="372"/>
    </row>
    <row r="21" spans="1:9">
      <c r="A21" s="653">
        <v>3</v>
      </c>
      <c r="B21" s="657" t="s">
        <v>778</v>
      </c>
      <c r="C21" s="654" t="s">
        <v>774</v>
      </c>
      <c r="D21" s="654"/>
      <c r="E21" s="654"/>
      <c r="F21" s="654"/>
      <c r="G21" s="654"/>
      <c r="H21" s="372"/>
      <c r="I21" s="372"/>
    </row>
    <row r="22" spans="1:9">
      <c r="A22" s="653">
        <v>2</v>
      </c>
      <c r="B22" s="657" t="s">
        <v>778</v>
      </c>
      <c r="C22" s="654" t="s">
        <v>776</v>
      </c>
      <c r="D22" s="654"/>
      <c r="E22" s="654"/>
      <c r="F22" s="654"/>
      <c r="G22" s="654"/>
      <c r="H22" s="372"/>
      <c r="I22" s="372"/>
    </row>
    <row r="23" spans="1:9">
      <c r="A23" s="653">
        <v>1</v>
      </c>
      <c r="B23" s="657" t="s">
        <v>778</v>
      </c>
      <c r="C23" s="654" t="s">
        <v>777</v>
      </c>
      <c r="D23" s="654"/>
      <c r="E23" s="654"/>
      <c r="F23" s="654"/>
      <c r="G23" s="654"/>
      <c r="H23" s="372"/>
      <c r="I23" s="372"/>
    </row>
    <row r="24" spans="1:9" ht="37.5" customHeight="1">
      <c r="A24" s="658"/>
      <c r="B24" s="656" t="s">
        <v>707</v>
      </c>
      <c r="C24" s="658"/>
      <c r="D24" s="658"/>
      <c r="E24" s="658"/>
      <c r="F24" s="658"/>
      <c r="G24" s="658"/>
      <c r="H24" s="291"/>
      <c r="I24" s="291"/>
    </row>
    <row r="25" spans="1:9">
      <c r="A25" s="653">
        <v>10</v>
      </c>
      <c r="B25" s="722" t="s">
        <v>779</v>
      </c>
      <c r="C25" s="722"/>
      <c r="D25" s="722"/>
      <c r="E25" s="722"/>
      <c r="F25" s="722"/>
      <c r="G25" s="654"/>
      <c r="H25" s="372"/>
      <c r="I25" s="372"/>
    </row>
    <row r="26" spans="1:9">
      <c r="A26" s="653">
        <v>9</v>
      </c>
      <c r="B26" s="722" t="s">
        <v>780</v>
      </c>
      <c r="C26" s="722"/>
      <c r="D26" s="722"/>
      <c r="E26" s="722"/>
      <c r="F26" s="722"/>
      <c r="G26" s="654"/>
      <c r="H26" s="372"/>
      <c r="I26" s="372"/>
    </row>
    <row r="27" spans="1:9">
      <c r="A27" s="653">
        <v>8</v>
      </c>
      <c r="B27" s="722" t="s">
        <v>781</v>
      </c>
      <c r="C27" s="722"/>
      <c r="D27" s="722"/>
      <c r="E27" s="722"/>
      <c r="F27" s="722"/>
      <c r="G27" s="722"/>
      <c r="H27" s="372"/>
      <c r="I27" s="372"/>
    </row>
    <row r="28" spans="1:9">
      <c r="A28" s="653">
        <v>7</v>
      </c>
      <c r="B28" s="722" t="s">
        <v>782</v>
      </c>
      <c r="C28" s="722"/>
      <c r="D28" s="722"/>
      <c r="E28" s="722"/>
      <c r="F28" s="722"/>
      <c r="G28" s="722"/>
      <c r="H28" s="372"/>
      <c r="I28" s="372"/>
    </row>
    <row r="29" spans="1:9">
      <c r="A29" s="653">
        <v>6</v>
      </c>
      <c r="B29" s="722" t="s">
        <v>783</v>
      </c>
      <c r="C29" s="722"/>
      <c r="D29" s="722"/>
      <c r="E29" s="722"/>
      <c r="F29" s="722"/>
      <c r="G29" s="722"/>
      <c r="H29" s="372"/>
      <c r="I29" s="372"/>
    </row>
    <row r="30" spans="1:9">
      <c r="A30" s="653">
        <v>5</v>
      </c>
      <c r="B30" s="722" t="s">
        <v>784</v>
      </c>
      <c r="C30" s="722"/>
      <c r="D30" s="722"/>
      <c r="E30" s="722"/>
      <c r="F30" s="722"/>
      <c r="G30" s="722"/>
      <c r="H30" s="372"/>
      <c r="I30" s="372"/>
    </row>
    <row r="31" spans="1:9">
      <c r="A31" s="653">
        <v>4</v>
      </c>
      <c r="B31" s="722" t="s">
        <v>785</v>
      </c>
      <c r="C31" s="722"/>
      <c r="D31" s="722"/>
      <c r="E31" s="722"/>
      <c r="F31" s="722"/>
      <c r="G31" s="722"/>
      <c r="H31" s="372"/>
      <c r="I31" s="372"/>
    </row>
    <row r="32" spans="1:9">
      <c r="A32" s="653">
        <v>3</v>
      </c>
      <c r="B32" s="722" t="s">
        <v>786</v>
      </c>
      <c r="C32" s="722"/>
      <c r="D32" s="722"/>
      <c r="E32" s="722"/>
      <c r="F32" s="722"/>
      <c r="G32" s="722"/>
      <c r="H32" s="372"/>
      <c r="I32" s="372"/>
    </row>
    <row r="33" spans="1:9">
      <c r="A33" s="653">
        <v>2</v>
      </c>
      <c r="B33" s="722" t="s">
        <v>787</v>
      </c>
      <c r="C33" s="722"/>
      <c r="D33" s="722"/>
      <c r="E33" s="722"/>
      <c r="F33" s="722"/>
      <c r="G33" s="722"/>
      <c r="H33" s="372"/>
      <c r="I33" s="372"/>
    </row>
    <row r="34" spans="1:9">
      <c r="A34" s="653">
        <v>1</v>
      </c>
      <c r="B34" s="722" t="s">
        <v>788</v>
      </c>
      <c r="C34" s="722"/>
      <c r="D34" s="722"/>
      <c r="E34" s="722"/>
      <c r="F34" s="722"/>
      <c r="G34" s="722"/>
      <c r="H34" s="372"/>
      <c r="I34" s="372"/>
    </row>
  </sheetData>
  <mergeCells count="20">
    <mergeCell ref="B26:F26"/>
    <mergeCell ref="B3:F3"/>
    <mergeCell ref="B4:F4"/>
    <mergeCell ref="B5:F5"/>
    <mergeCell ref="B6:F6"/>
    <mergeCell ref="B7:F7"/>
    <mergeCell ref="B8:F8"/>
    <mergeCell ref="B9:F9"/>
    <mergeCell ref="B10:F10"/>
    <mergeCell ref="B11:F11"/>
    <mergeCell ref="B12:F12"/>
    <mergeCell ref="B25:F25"/>
    <mergeCell ref="B33:G33"/>
    <mergeCell ref="B34:G34"/>
    <mergeCell ref="B27:G27"/>
    <mergeCell ref="B28:G28"/>
    <mergeCell ref="B29:G29"/>
    <mergeCell ref="B30:G30"/>
    <mergeCell ref="B31:G31"/>
    <mergeCell ref="B32:G32"/>
  </mergeCells>
  <pageMargins left="0.7" right="0.7" top="1.4895833333333333" bottom="0.75" header="0.3" footer="0.3"/>
  <pageSetup orientation="portrait" r:id="rId1"/>
  <headerFooter>
    <oddHeader>&amp;L&amp;G&amp;C&amp;"Arial,Bold"&amp;14PFMEA LISTS&amp;10
&amp;"Arial,Regular"(4th Edition)</oddHeader>
    <oddFooter>&amp;C&amp;F</oddFooter>
  </headerFooter>
  <legacyDrawingHF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3"/>
  <dimension ref="A1:N34"/>
  <sheetViews>
    <sheetView showGridLines="0" showRowColHeaders="0" view="pageLayout" zoomScaleNormal="100" workbookViewId="0">
      <selection activeCell="M2" sqref="M1:M2"/>
    </sheetView>
  </sheetViews>
  <sheetFormatPr defaultColWidth="0" defaultRowHeight="13.5" thickBottom="1"/>
  <cols>
    <col min="1" max="1" width="8.140625" style="291" customWidth="1"/>
    <col min="2" max="2" width="13.140625" style="291" customWidth="1"/>
    <col min="3" max="3" width="9.85546875" style="291" customWidth="1"/>
    <col min="4" max="4" width="4.85546875" style="291" customWidth="1"/>
    <col min="5" max="6" width="8.85546875" style="291" customWidth="1"/>
    <col min="7" max="7" width="6.7109375" style="291" customWidth="1"/>
    <col min="8" max="8" width="14.7109375" style="291" customWidth="1"/>
    <col min="9" max="9" width="11.42578125" style="291" customWidth="1"/>
    <col min="10" max="11" width="6.7109375" style="291" customWidth="1"/>
    <col min="12" max="12" width="10.42578125" style="291" customWidth="1"/>
    <col min="13" max="13" width="13.28515625" style="291" customWidth="1"/>
    <col min="14" max="14" width="0.7109375" style="291" customWidth="1"/>
    <col min="15" max="16384" width="9.140625" style="291" hidden="1"/>
  </cols>
  <sheetData>
    <row r="1" spans="1:13" ht="18">
      <c r="F1" s="373"/>
    </row>
    <row r="2" spans="1:13" s="299" customFormat="1" ht="11.25"/>
    <row r="3" spans="1:13" s="299" customFormat="1" ht="11.25" customHeight="1">
      <c r="A3" s="338" t="s">
        <v>677</v>
      </c>
      <c r="B3" s="374"/>
      <c r="C3" s="374"/>
      <c r="D3" s="375"/>
      <c r="E3" s="338" t="s">
        <v>678</v>
      </c>
      <c r="F3" s="374"/>
      <c r="G3" s="374"/>
      <c r="H3" s="374"/>
      <c r="I3" s="375"/>
      <c r="J3" s="338" t="s">
        <v>638</v>
      </c>
      <c r="K3" s="374"/>
      <c r="L3" s="338" t="s">
        <v>639</v>
      </c>
      <c r="M3" s="375"/>
    </row>
    <row r="4" spans="1:13" ht="12.75">
      <c r="A4" s="685"/>
      <c r="B4" s="661"/>
      <c r="C4" s="661"/>
      <c r="D4" s="686"/>
      <c r="E4" s="685"/>
      <c r="F4" s="661"/>
      <c r="G4" s="661"/>
      <c r="H4" s="661"/>
      <c r="I4" s="686"/>
      <c r="J4" s="731" t="s">
        <v>814</v>
      </c>
      <c r="K4" s="732"/>
      <c r="L4" s="731" t="s">
        <v>814</v>
      </c>
      <c r="M4" s="732"/>
    </row>
    <row r="5" spans="1:13" s="299" customFormat="1" ht="11.25">
      <c r="A5" s="338" t="s">
        <v>903</v>
      </c>
      <c r="B5" s="374"/>
      <c r="C5" s="374"/>
      <c r="D5" s="375"/>
      <c r="E5" s="338" t="s">
        <v>632</v>
      </c>
      <c r="F5" s="374"/>
      <c r="G5" s="374"/>
      <c r="H5" s="374"/>
      <c r="I5" s="375"/>
      <c r="J5" s="338" t="s">
        <v>0</v>
      </c>
      <c r="K5" s="374"/>
      <c r="L5" s="374"/>
      <c r="M5" s="375"/>
    </row>
    <row r="6" spans="1:13" ht="12.75">
      <c r="A6" s="685">
        <f>'Header Info'!C7</f>
        <v>0</v>
      </c>
      <c r="B6" s="661"/>
      <c r="C6" s="661"/>
      <c r="D6" s="376">
        <f>'Header Info'!C8</f>
        <v>0</v>
      </c>
      <c r="E6" s="723"/>
      <c r="F6" s="724"/>
      <c r="G6" s="724"/>
      <c r="H6" s="724"/>
      <c r="I6" s="725"/>
      <c r="J6" s="723"/>
      <c r="K6" s="724"/>
      <c r="L6" s="724"/>
      <c r="M6" s="725"/>
    </row>
    <row r="7" spans="1:13" s="299" customFormat="1" ht="11.25">
      <c r="A7" s="338" t="s">
        <v>1</v>
      </c>
      <c r="B7" s="374"/>
      <c r="C7" s="374"/>
      <c r="D7" s="375"/>
      <c r="E7" s="338" t="s">
        <v>328</v>
      </c>
      <c r="F7" s="374"/>
      <c r="G7" s="374"/>
      <c r="H7" s="374"/>
      <c r="I7" s="375"/>
      <c r="J7" s="338" t="s">
        <v>2</v>
      </c>
      <c r="K7" s="374"/>
      <c r="L7" s="374"/>
      <c r="M7" s="375"/>
    </row>
    <row r="8" spans="1:13" ht="12.75">
      <c r="A8" s="685">
        <f>'Header Info'!C6</f>
        <v>0</v>
      </c>
      <c r="B8" s="661"/>
      <c r="C8" s="661"/>
      <c r="D8" s="686"/>
      <c r="E8" s="723"/>
      <c r="F8" s="724"/>
      <c r="G8" s="724"/>
      <c r="H8" s="724"/>
      <c r="I8" s="725"/>
      <c r="J8" s="723"/>
      <c r="K8" s="724"/>
      <c r="L8" s="724"/>
      <c r="M8" s="725"/>
    </row>
    <row r="9" spans="1:13" s="299" customFormat="1" ht="11.25">
      <c r="A9" s="338" t="s">
        <v>815</v>
      </c>
      <c r="B9" s="374"/>
      <c r="C9" s="338" t="s">
        <v>329</v>
      </c>
      <c r="D9" s="375"/>
      <c r="E9" s="338" t="s">
        <v>3</v>
      </c>
      <c r="F9" s="374"/>
      <c r="G9" s="374"/>
      <c r="H9" s="374"/>
      <c r="I9" s="375"/>
      <c r="J9" s="338" t="s">
        <v>3</v>
      </c>
      <c r="K9" s="374"/>
      <c r="L9" s="374"/>
      <c r="M9" s="375"/>
    </row>
    <row r="10" spans="1:13" thickBot="1">
      <c r="A10" s="729"/>
      <c r="B10" s="730"/>
      <c r="C10" s="733">
        <f>[2]INTRO!C11</f>
        <v>0</v>
      </c>
      <c r="D10" s="734"/>
      <c r="E10" s="726"/>
      <c r="F10" s="727"/>
      <c r="G10" s="727"/>
      <c r="H10" s="727"/>
      <c r="I10" s="728"/>
      <c r="J10" s="726"/>
      <c r="K10" s="727"/>
      <c r="L10" s="727"/>
      <c r="M10" s="728"/>
    </row>
    <row r="11" spans="1:13" s="301" customFormat="1" ht="9.75" customHeight="1">
      <c r="A11" s="740" t="s">
        <v>344</v>
      </c>
      <c r="B11" s="743" t="s">
        <v>345</v>
      </c>
      <c r="C11" s="743" t="s">
        <v>346</v>
      </c>
      <c r="D11" s="735" t="s">
        <v>566</v>
      </c>
      <c r="E11" s="735"/>
      <c r="F11" s="735"/>
      <c r="G11" s="743" t="s">
        <v>347</v>
      </c>
      <c r="H11" s="735" t="s">
        <v>4</v>
      </c>
      <c r="I11" s="735"/>
      <c r="J11" s="735"/>
      <c r="K11" s="735"/>
      <c r="L11" s="735"/>
      <c r="M11" s="737" t="s">
        <v>349</v>
      </c>
    </row>
    <row r="12" spans="1:13" s="301" customFormat="1" ht="9.75" customHeight="1">
      <c r="A12" s="741"/>
      <c r="B12" s="703"/>
      <c r="C12" s="703"/>
      <c r="D12" s="736"/>
      <c r="E12" s="736"/>
      <c r="F12" s="736"/>
      <c r="G12" s="703"/>
      <c r="H12" s="736"/>
      <c r="I12" s="736"/>
      <c r="J12" s="736"/>
      <c r="K12" s="736"/>
      <c r="L12" s="736"/>
      <c r="M12" s="738"/>
    </row>
    <row r="13" spans="1:13" s="301" customFormat="1" ht="10.5" customHeight="1">
      <c r="A13" s="741"/>
      <c r="B13" s="703"/>
      <c r="C13" s="703"/>
      <c r="D13" s="736" t="s">
        <v>8</v>
      </c>
      <c r="E13" s="736" t="s">
        <v>9</v>
      </c>
      <c r="F13" s="736" t="s">
        <v>572</v>
      </c>
      <c r="G13" s="703"/>
      <c r="H13" s="377" t="s">
        <v>5</v>
      </c>
      <c r="I13" s="377" t="s">
        <v>6</v>
      </c>
      <c r="J13" s="378" t="s">
        <v>7</v>
      </c>
      <c r="K13" s="378"/>
      <c r="L13" s="703" t="s">
        <v>348</v>
      </c>
      <c r="M13" s="738"/>
    </row>
    <row r="14" spans="1:13" s="301" customFormat="1" ht="10.5" customHeight="1">
      <c r="A14" s="741"/>
      <c r="B14" s="703"/>
      <c r="C14" s="703"/>
      <c r="D14" s="736"/>
      <c r="E14" s="736"/>
      <c r="F14" s="736"/>
      <c r="G14" s="703"/>
      <c r="H14" s="377" t="s">
        <v>10</v>
      </c>
      <c r="I14" s="377" t="s">
        <v>11</v>
      </c>
      <c r="J14" s="736" t="s">
        <v>12</v>
      </c>
      <c r="K14" s="736" t="s">
        <v>13</v>
      </c>
      <c r="L14" s="703"/>
      <c r="M14" s="738"/>
    </row>
    <row r="15" spans="1:13" s="301" customFormat="1" ht="10.5" customHeight="1" thickBot="1">
      <c r="A15" s="742"/>
      <c r="B15" s="744"/>
      <c r="C15" s="744"/>
      <c r="D15" s="745"/>
      <c r="E15" s="745"/>
      <c r="F15" s="745"/>
      <c r="G15" s="744"/>
      <c r="H15" s="379" t="s">
        <v>635</v>
      </c>
      <c r="I15" s="379" t="s">
        <v>14</v>
      </c>
      <c r="J15" s="745"/>
      <c r="K15" s="745"/>
      <c r="L15" s="744"/>
      <c r="M15" s="739"/>
    </row>
    <row r="16" spans="1:13" ht="12.75">
      <c r="A16" s="354"/>
      <c r="B16" s="354"/>
      <c r="C16" s="354"/>
      <c r="D16" s="353"/>
      <c r="E16" s="354"/>
      <c r="F16" s="354"/>
      <c r="G16" s="354"/>
      <c r="H16" s="354"/>
      <c r="I16" s="353"/>
      <c r="J16" s="353"/>
      <c r="K16" s="353"/>
      <c r="L16" s="353"/>
      <c r="M16" s="354"/>
    </row>
    <row r="17" spans="1:13" ht="12.75">
      <c r="A17" s="380"/>
      <c r="B17" s="380"/>
      <c r="C17" s="380"/>
      <c r="D17" s="381"/>
      <c r="E17" s="380"/>
      <c r="F17" s="380"/>
      <c r="G17" s="380"/>
      <c r="H17" s="380"/>
      <c r="I17" s="381"/>
      <c r="J17" s="381"/>
      <c r="K17" s="381"/>
      <c r="L17" s="381"/>
      <c r="M17" s="380"/>
    </row>
    <row r="18" spans="1:13" ht="12.75">
      <c r="A18" s="380"/>
      <c r="B18" s="380"/>
      <c r="C18" s="380"/>
      <c r="D18" s="381"/>
      <c r="E18" s="380"/>
      <c r="F18" s="380"/>
      <c r="G18" s="380"/>
      <c r="H18" s="380"/>
      <c r="I18" s="381"/>
      <c r="J18" s="381"/>
      <c r="K18" s="381"/>
      <c r="L18" s="381"/>
      <c r="M18" s="380"/>
    </row>
    <row r="19" spans="1:13" ht="12.75">
      <c r="A19" s="380"/>
      <c r="B19" s="380"/>
      <c r="C19" s="380"/>
      <c r="D19" s="381"/>
      <c r="E19" s="380"/>
      <c r="F19" s="380"/>
      <c r="G19" s="380"/>
      <c r="H19" s="380"/>
      <c r="I19" s="381"/>
      <c r="J19" s="381"/>
      <c r="K19" s="381"/>
      <c r="L19" s="381"/>
      <c r="M19" s="380"/>
    </row>
    <row r="20" spans="1:13" ht="12.75">
      <c r="A20" s="380"/>
      <c r="B20" s="380"/>
      <c r="C20" s="380"/>
      <c r="D20" s="381"/>
      <c r="E20" s="380"/>
      <c r="F20" s="380"/>
      <c r="G20" s="380"/>
      <c r="H20" s="380"/>
      <c r="I20" s="381"/>
      <c r="J20" s="381"/>
      <c r="K20" s="381"/>
      <c r="L20" s="381"/>
      <c r="M20" s="380"/>
    </row>
    <row r="21" spans="1:13" ht="12.75">
      <c r="A21" s="380"/>
      <c r="B21" s="380"/>
      <c r="C21" s="380"/>
      <c r="D21" s="381"/>
      <c r="E21" s="380"/>
      <c r="F21" s="380"/>
      <c r="G21" s="380"/>
      <c r="H21" s="380"/>
      <c r="I21" s="381"/>
      <c r="J21" s="381"/>
      <c r="K21" s="381"/>
      <c r="L21" s="381"/>
      <c r="M21" s="380"/>
    </row>
    <row r="22" spans="1:13" ht="12.75">
      <c r="A22" s="380"/>
      <c r="B22" s="380"/>
      <c r="C22" s="380"/>
      <c r="D22" s="381"/>
      <c r="E22" s="380"/>
      <c r="F22" s="380"/>
      <c r="G22" s="380"/>
      <c r="H22" s="380"/>
      <c r="I22" s="381"/>
      <c r="J22" s="381"/>
      <c r="K22" s="381"/>
      <c r="L22" s="381"/>
      <c r="M22" s="380"/>
    </row>
    <row r="23" spans="1:13" ht="12.75">
      <c r="A23" s="380"/>
      <c r="B23" s="380"/>
      <c r="C23" s="380"/>
      <c r="D23" s="381"/>
      <c r="E23" s="380"/>
      <c r="F23" s="380"/>
      <c r="G23" s="380"/>
      <c r="H23" s="380"/>
      <c r="I23" s="381"/>
      <c r="J23" s="381"/>
      <c r="K23" s="381"/>
      <c r="L23" s="381"/>
      <c r="M23" s="380"/>
    </row>
    <row r="24" spans="1:13" ht="12.75">
      <c r="A24" s="380"/>
      <c r="B24" s="380"/>
      <c r="C24" s="380"/>
      <c r="D24" s="381"/>
      <c r="E24" s="380"/>
      <c r="F24" s="380"/>
      <c r="G24" s="380"/>
      <c r="H24" s="380"/>
      <c r="I24" s="381"/>
      <c r="J24" s="381"/>
      <c r="K24" s="381"/>
      <c r="L24" s="381"/>
      <c r="M24" s="380"/>
    </row>
    <row r="25" spans="1:13" ht="12.75">
      <c r="A25" s="380"/>
      <c r="B25" s="380"/>
      <c r="C25" s="380"/>
      <c r="D25" s="381"/>
      <c r="E25" s="380"/>
      <c r="F25" s="380"/>
      <c r="G25" s="380"/>
      <c r="H25" s="380"/>
      <c r="I25" s="381"/>
      <c r="J25" s="381"/>
      <c r="K25" s="381"/>
      <c r="L25" s="381"/>
      <c r="M25" s="380"/>
    </row>
    <row r="26" spans="1:13" ht="12.75">
      <c r="A26" s="380"/>
      <c r="B26" s="380"/>
      <c r="C26" s="380"/>
      <c r="D26" s="381"/>
      <c r="E26" s="380"/>
      <c r="F26" s="380"/>
      <c r="G26" s="380"/>
      <c r="H26" s="380"/>
      <c r="I26" s="381"/>
      <c r="J26" s="381"/>
      <c r="K26" s="381"/>
      <c r="L26" s="381"/>
      <c r="M26" s="380"/>
    </row>
    <row r="27" spans="1:13" ht="12.75">
      <c r="A27" s="380"/>
      <c r="B27" s="380"/>
      <c r="C27" s="380"/>
      <c r="D27" s="381"/>
      <c r="E27" s="380"/>
      <c r="F27" s="380"/>
      <c r="G27" s="380"/>
      <c r="H27" s="380"/>
      <c r="I27" s="381"/>
      <c r="J27" s="381"/>
      <c r="K27" s="381"/>
      <c r="L27" s="381"/>
      <c r="M27" s="380"/>
    </row>
    <row r="28" spans="1:13" ht="12.75">
      <c r="A28" s="380"/>
      <c r="B28" s="380"/>
      <c r="C28" s="380"/>
      <c r="D28" s="381"/>
      <c r="E28" s="380"/>
      <c r="F28" s="380"/>
      <c r="G28" s="380"/>
      <c r="H28" s="380"/>
      <c r="I28" s="381"/>
      <c r="J28" s="381"/>
      <c r="K28" s="381"/>
      <c r="L28" s="381"/>
      <c r="M28" s="380"/>
    </row>
    <row r="29" spans="1:13" ht="12.75">
      <c r="A29" s="380"/>
      <c r="B29" s="380"/>
      <c r="C29" s="380"/>
      <c r="D29" s="381"/>
      <c r="E29" s="380"/>
      <c r="F29" s="380"/>
      <c r="G29" s="380"/>
      <c r="H29" s="380"/>
      <c r="I29" s="381"/>
      <c r="J29" s="381"/>
      <c r="K29" s="381"/>
      <c r="L29" s="381"/>
      <c r="M29" s="380"/>
    </row>
    <row r="30" spans="1:13" ht="12.75">
      <c r="A30" s="380"/>
      <c r="B30" s="380"/>
      <c r="C30" s="380"/>
      <c r="D30" s="381"/>
      <c r="E30" s="380"/>
      <c r="F30" s="380"/>
      <c r="G30" s="380"/>
      <c r="H30" s="380"/>
      <c r="I30" s="381"/>
      <c r="J30" s="381"/>
      <c r="K30" s="381"/>
      <c r="L30" s="381"/>
      <c r="M30" s="380"/>
    </row>
    <row r="31" spans="1:13" ht="12.75">
      <c r="A31" s="380"/>
      <c r="B31" s="380"/>
      <c r="C31" s="380"/>
      <c r="D31" s="381"/>
      <c r="E31" s="380"/>
      <c r="F31" s="380"/>
      <c r="G31" s="380"/>
      <c r="H31" s="380"/>
      <c r="I31" s="381"/>
      <c r="J31" s="381"/>
      <c r="K31" s="381"/>
      <c r="L31" s="381"/>
      <c r="M31" s="380"/>
    </row>
    <row r="32" spans="1:13" ht="12.75">
      <c r="A32" s="380"/>
      <c r="B32" s="380"/>
      <c r="C32" s="380"/>
      <c r="D32" s="381"/>
      <c r="E32" s="380"/>
      <c r="F32" s="380"/>
      <c r="G32" s="380"/>
      <c r="H32" s="380"/>
      <c r="I32" s="381"/>
      <c r="J32" s="381"/>
      <c r="K32" s="381"/>
      <c r="L32" s="381"/>
      <c r="M32" s="380"/>
    </row>
    <row r="33" spans="1:13" ht="12.75">
      <c r="A33" s="380"/>
      <c r="B33" s="380"/>
      <c r="C33" s="380"/>
      <c r="D33" s="381"/>
      <c r="E33" s="380"/>
      <c r="F33" s="380"/>
      <c r="G33" s="380"/>
      <c r="H33" s="380"/>
      <c r="I33" s="381"/>
      <c r="J33" s="381"/>
      <c r="K33" s="381"/>
      <c r="L33" s="381"/>
      <c r="M33" s="380"/>
    </row>
    <row r="34" spans="1:13" ht="12.75">
      <c r="A34" s="380"/>
      <c r="B34" s="380"/>
      <c r="C34" s="380"/>
      <c r="D34" s="381"/>
      <c r="E34" s="380"/>
      <c r="F34" s="380"/>
      <c r="G34" s="380"/>
      <c r="H34" s="380"/>
      <c r="I34" s="381"/>
      <c r="J34" s="381"/>
      <c r="K34" s="381"/>
      <c r="L34" s="381"/>
      <c r="M34" s="380"/>
    </row>
  </sheetData>
  <mergeCells count="27">
    <mergeCell ref="H11:L12"/>
    <mergeCell ref="M11:M15"/>
    <mergeCell ref="A11:A15"/>
    <mergeCell ref="B11:B15"/>
    <mergeCell ref="C11:C15"/>
    <mergeCell ref="D11:F12"/>
    <mergeCell ref="G11:G15"/>
    <mergeCell ref="D13:D15"/>
    <mergeCell ref="E13:E15"/>
    <mergeCell ref="F13:F15"/>
    <mergeCell ref="L13:L15"/>
    <mergeCell ref="J14:J15"/>
    <mergeCell ref="K14:K15"/>
    <mergeCell ref="J6:M6"/>
    <mergeCell ref="J8:M8"/>
    <mergeCell ref="J10:M10"/>
    <mergeCell ref="A4:D4"/>
    <mergeCell ref="A6:C6"/>
    <mergeCell ref="A8:D8"/>
    <mergeCell ref="A10:B10"/>
    <mergeCell ref="E4:I4"/>
    <mergeCell ref="E6:I6"/>
    <mergeCell ref="E8:I8"/>
    <mergeCell ref="E10:I10"/>
    <mergeCell ref="J4:K4"/>
    <mergeCell ref="L4:M4"/>
    <mergeCell ref="C10:D10"/>
  </mergeCells>
  <printOptions horizontalCentered="1"/>
  <pageMargins left="0.5" right="0.5" top="1.4479166666666667" bottom="0.75" header="0.5" footer="0.5"/>
  <pageSetup orientation="landscape" horizontalDpi="300" r:id="rId1"/>
  <headerFooter>
    <oddHeader>&amp;L&amp;G&amp;C&amp;"Arial,Bold"&amp;14CONTROL PLAN</oddHeader>
    <oddFooter>&amp;C&amp;F</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638849" r:id="rId5" name="Check Box 1">
              <controlPr locked="0" defaultSize="0" autoFill="0" autoLine="0" autoPict="0">
                <anchor moveWithCells="1">
                  <from>
                    <xdr:col>0</xdr:col>
                    <xdr:colOff>38100</xdr:colOff>
                    <xdr:row>0</xdr:row>
                    <xdr:rowOff>180975</xdr:rowOff>
                  </from>
                  <to>
                    <xdr:col>1</xdr:col>
                    <xdr:colOff>533400</xdr:colOff>
                    <xdr:row>2</xdr:row>
                    <xdr:rowOff>19050</xdr:rowOff>
                  </to>
                </anchor>
              </controlPr>
            </control>
          </mc:Choice>
        </mc:AlternateContent>
        <mc:AlternateContent xmlns:mc="http://schemas.openxmlformats.org/markup-compatibility/2006">
          <mc:Choice Requires="x14">
            <control shapeId="2638850" r:id="rId6" name="Check Box 2">
              <controlPr locked="0" defaultSize="0" autoFill="0" autoLine="0" autoPict="0">
                <anchor moveWithCells="1">
                  <from>
                    <xdr:col>1</xdr:col>
                    <xdr:colOff>390525</xdr:colOff>
                    <xdr:row>0</xdr:row>
                    <xdr:rowOff>180975</xdr:rowOff>
                  </from>
                  <to>
                    <xdr:col>3</xdr:col>
                    <xdr:colOff>0</xdr:colOff>
                    <xdr:row>2</xdr:row>
                    <xdr:rowOff>19050</xdr:rowOff>
                  </to>
                </anchor>
              </controlPr>
            </control>
          </mc:Choice>
        </mc:AlternateContent>
        <mc:AlternateContent xmlns:mc="http://schemas.openxmlformats.org/markup-compatibility/2006">
          <mc:Choice Requires="x14">
            <control shapeId="2638851" r:id="rId7" name="Check Box 3">
              <controlPr locked="0" defaultSize="0" autoFill="0" autoLine="0" autoPict="0">
                <anchor moveWithCells="1">
                  <from>
                    <xdr:col>2</xdr:col>
                    <xdr:colOff>514350</xdr:colOff>
                    <xdr:row>0</xdr:row>
                    <xdr:rowOff>180975</xdr:rowOff>
                  </from>
                  <to>
                    <xdr:col>5</xdr:col>
                    <xdr:colOff>238125</xdr:colOff>
                    <xdr:row>2</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AD22"/>
  <sheetViews>
    <sheetView showGridLines="0" showRowColHeaders="0" view="pageLayout" zoomScaleNormal="100" workbookViewId="0">
      <selection activeCell="H11" sqref="H11"/>
    </sheetView>
  </sheetViews>
  <sheetFormatPr defaultColWidth="0" defaultRowHeight="12.75"/>
  <cols>
    <col min="1" max="1" width="2" style="303" customWidth="1"/>
    <col min="2" max="2" width="8.5703125" style="303" bestFit="1" customWidth="1"/>
    <col min="3" max="3" width="28.7109375" style="303" customWidth="1"/>
    <col min="4" max="4" width="15.5703125" style="303" bestFit="1" customWidth="1"/>
    <col min="5" max="5" width="37.140625" style="303" customWidth="1"/>
    <col min="6" max="6" width="12.5703125" style="303" bestFit="1" customWidth="1"/>
    <col min="7" max="7" width="32.28515625" style="303" customWidth="1"/>
    <col min="8" max="8" width="21.85546875" style="303" customWidth="1"/>
    <col min="9" max="9" width="20.5703125" style="303" customWidth="1"/>
    <col min="10" max="10" width="0.42578125" style="303" customWidth="1"/>
    <col min="11" max="11" width="32.7109375" style="303" hidden="1" customWidth="1"/>
    <col min="12" max="30" width="9.140625" style="303" customWidth="1"/>
    <col min="31" max="16384" width="9.140625" style="303" hidden="1"/>
  </cols>
  <sheetData>
    <row r="1" spans="2:11" ht="25.5" thickBot="1">
      <c r="B1" s="382"/>
      <c r="C1" s="382"/>
      <c r="D1" s="382"/>
      <c r="E1" s="382"/>
      <c r="F1" s="382"/>
    </row>
    <row r="2" spans="2:11" ht="25.5" thickBot="1">
      <c r="B2" s="382"/>
      <c r="C2" s="382"/>
      <c r="D2" s="382"/>
      <c r="E2" s="382"/>
      <c r="F2" s="382"/>
      <c r="G2" s="746" t="s">
        <v>716</v>
      </c>
      <c r="H2" s="747"/>
      <c r="I2" s="748"/>
    </row>
    <row r="3" spans="2:11" ht="26.25" thickBot="1">
      <c r="B3" s="383" t="s">
        <v>717</v>
      </c>
      <c r="C3" s="384" t="s">
        <v>719</v>
      </c>
      <c r="D3" s="384" t="s">
        <v>745</v>
      </c>
      <c r="E3" s="384" t="s">
        <v>746</v>
      </c>
      <c r="F3" s="384" t="s">
        <v>747</v>
      </c>
      <c r="G3" s="385" t="s">
        <v>724</v>
      </c>
      <c r="H3" s="384" t="s">
        <v>725</v>
      </c>
      <c r="I3" s="386" t="s">
        <v>726</v>
      </c>
    </row>
    <row r="4" spans="2:11">
      <c r="B4" s="387">
        <v>1</v>
      </c>
      <c r="C4" s="388"/>
      <c r="D4" s="389"/>
      <c r="E4" s="390"/>
      <c r="F4" s="391"/>
      <c r="G4" s="392"/>
      <c r="H4" s="393"/>
      <c r="I4" s="394"/>
      <c r="K4" s="395" t="s">
        <v>749</v>
      </c>
    </row>
    <row r="5" spans="2:11" ht="15">
      <c r="B5" s="396">
        <v>2</v>
      </c>
      <c r="C5" s="397"/>
      <c r="D5" s="365"/>
      <c r="E5" s="398"/>
      <c r="F5" s="399"/>
      <c r="G5" s="400"/>
      <c r="H5" s="401"/>
      <c r="I5" s="402"/>
      <c r="K5" s="403" t="s">
        <v>750</v>
      </c>
    </row>
    <row r="6" spans="2:11" ht="15">
      <c r="B6" s="396">
        <v>3</v>
      </c>
      <c r="C6" s="397"/>
      <c r="D6" s="365"/>
      <c r="E6" s="398"/>
      <c r="F6" s="399"/>
      <c r="G6" s="400"/>
      <c r="H6" s="404"/>
      <c r="I6" s="402"/>
      <c r="K6" s="403" t="s">
        <v>748</v>
      </c>
    </row>
    <row r="7" spans="2:11" ht="15">
      <c r="B7" s="396">
        <v>4</v>
      </c>
      <c r="C7" s="397"/>
      <c r="D7" s="365"/>
      <c r="E7" s="398"/>
      <c r="F7" s="399"/>
      <c r="G7" s="400"/>
      <c r="H7" s="401"/>
      <c r="I7" s="402"/>
      <c r="K7" s="403" t="s">
        <v>751</v>
      </c>
    </row>
    <row r="8" spans="2:11" ht="15">
      <c r="B8" s="396">
        <v>5</v>
      </c>
      <c r="C8" s="397"/>
      <c r="D8" s="365"/>
      <c r="E8" s="398"/>
      <c r="F8" s="399"/>
      <c r="G8" s="400"/>
      <c r="H8" s="401"/>
      <c r="I8" s="402"/>
      <c r="K8" s="403" t="s">
        <v>752</v>
      </c>
    </row>
    <row r="9" spans="2:11" ht="15">
      <c r="B9" s="396">
        <v>6</v>
      </c>
      <c r="C9" s="397"/>
      <c r="D9" s="365"/>
      <c r="E9" s="398"/>
      <c r="F9" s="399"/>
      <c r="G9" s="400"/>
      <c r="H9" s="401"/>
      <c r="I9" s="402"/>
      <c r="K9" s="403" t="s">
        <v>753</v>
      </c>
    </row>
    <row r="10" spans="2:11">
      <c r="B10" s="396">
        <v>7</v>
      </c>
      <c r="C10" s="397"/>
      <c r="D10" s="365"/>
      <c r="E10" s="398"/>
      <c r="F10" s="399"/>
      <c r="G10" s="400"/>
      <c r="H10" s="401"/>
      <c r="I10" s="402"/>
      <c r="K10" s="303" t="s">
        <v>754</v>
      </c>
    </row>
    <row r="11" spans="2:11">
      <c r="B11" s="396">
        <v>8</v>
      </c>
      <c r="C11" s="397"/>
      <c r="D11" s="365"/>
      <c r="E11" s="398"/>
      <c r="F11" s="399"/>
      <c r="G11" s="400"/>
      <c r="H11" s="401"/>
      <c r="I11" s="402"/>
      <c r="K11" s="303" t="s">
        <v>755</v>
      </c>
    </row>
    <row r="12" spans="2:11">
      <c r="B12" s="396">
        <v>9</v>
      </c>
      <c r="C12" s="397"/>
      <c r="D12" s="365"/>
      <c r="E12" s="398"/>
      <c r="F12" s="399"/>
      <c r="G12" s="400"/>
      <c r="H12" s="401"/>
      <c r="I12" s="402"/>
      <c r="K12" s="303" t="s">
        <v>756</v>
      </c>
    </row>
    <row r="13" spans="2:11" ht="13.5" thickBot="1">
      <c r="B13" s="405">
        <v>10</v>
      </c>
      <c r="C13" s="406"/>
      <c r="D13" s="407"/>
      <c r="E13" s="408"/>
      <c r="F13" s="409"/>
      <c r="G13" s="410"/>
      <c r="H13" s="411"/>
      <c r="I13" s="412"/>
      <c r="K13" s="303" t="s">
        <v>757</v>
      </c>
    </row>
    <row r="16" spans="2:11" ht="15">
      <c r="B16" s="292" t="s">
        <v>326</v>
      </c>
    </row>
    <row r="17" spans="2:11" ht="15">
      <c r="B17" s="292"/>
      <c r="K17" s="395" t="s">
        <v>733</v>
      </c>
    </row>
    <row r="18" spans="2:11" ht="15">
      <c r="B18" s="292"/>
      <c r="K18" s="413" t="s">
        <v>736</v>
      </c>
    </row>
    <row r="19" spans="2:11">
      <c r="K19" s="413" t="s">
        <v>737</v>
      </c>
    </row>
    <row r="20" spans="2:11">
      <c r="K20" s="413" t="s">
        <v>729</v>
      </c>
    </row>
    <row r="21" spans="2:11">
      <c r="K21" s="413" t="s">
        <v>738</v>
      </c>
    </row>
    <row r="22" spans="2:11">
      <c r="K22" s="413" t="s">
        <v>740</v>
      </c>
    </row>
  </sheetData>
  <mergeCells count="1">
    <mergeCell ref="G2:I2"/>
  </mergeCells>
  <conditionalFormatting sqref="F4:F13">
    <cfRule type="cellIs" dxfId="17" priority="1" operator="greaterThan">
      <formula>0.2</formula>
    </cfRule>
    <cfRule type="cellIs" dxfId="16" priority="2" operator="lessThan">
      <formula>0.2</formula>
    </cfRule>
  </conditionalFormatting>
  <dataValidations disablePrompts="1" count="1">
    <dataValidation type="list" showInputMessage="1" showErrorMessage="1" sqref="E4:E13" xr:uid="{00000000-0002-0000-0E00-000000000000}">
      <formula1>$K$5:$K$13</formula1>
    </dataValidation>
  </dataValidations>
  <pageMargins left="0.25" right="0.25" top="1.1399999999999999" bottom="0.75" header="0.3" footer="0.3"/>
  <pageSetup scale="76" fitToHeight="0" orientation="landscape" r:id="rId1"/>
  <headerFooter>
    <oddHeader>&amp;L&amp;G&amp;C&amp;"Arial,Bold"&amp;14MEASUREMENT SYSTEMS ANALYSIS 
&amp;"Arial,Regular"&amp;10(GAGE R&amp;6and&amp;10R Summary Table for PPAP)</oddHeader>
    <oddFooter>&amp;C&amp;F</oddFooter>
  </headerFooter>
  <legacy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AN48"/>
  <sheetViews>
    <sheetView showGridLines="0" showRowColHeaders="0" view="pageLayout" zoomScaleNormal="100" workbookViewId="0">
      <selection activeCell="I12" sqref="I12"/>
    </sheetView>
  </sheetViews>
  <sheetFormatPr defaultColWidth="0" defaultRowHeight="12.75"/>
  <cols>
    <col min="1" max="1" width="3.5703125" style="291" customWidth="1"/>
    <col min="2" max="2" width="8.85546875" style="291" customWidth="1"/>
    <col min="3" max="3" width="5.5703125" style="291" customWidth="1"/>
    <col min="4" max="4" width="8.85546875" style="291" customWidth="1"/>
    <col min="5" max="10" width="10.42578125" style="291" customWidth="1"/>
    <col min="11" max="11" width="3.5703125" style="291" customWidth="1"/>
    <col min="12" max="12" width="8.85546875" style="291" customWidth="1"/>
    <col min="13" max="13" width="5.5703125" style="291" customWidth="1"/>
    <col min="14" max="14" width="8.85546875" style="291" customWidth="1"/>
    <col min="15" max="20" width="10.42578125" style="291" customWidth="1"/>
    <col min="21" max="21" width="3.42578125" style="291" customWidth="1"/>
    <col min="22" max="22" width="7.7109375" style="291" customWidth="1"/>
    <col min="23" max="23" width="9.85546875" style="291" customWidth="1"/>
    <col min="24" max="24" width="8.28515625" style="291" customWidth="1"/>
    <col min="25" max="26" width="10.42578125" style="291" customWidth="1"/>
    <col min="27" max="28" width="8.85546875" style="291" customWidth="1"/>
    <col min="29" max="30" width="10.42578125" style="291" customWidth="1"/>
    <col min="31" max="31" width="8.85546875" style="291" customWidth="1"/>
    <col min="32" max="32" width="13.42578125" style="291" customWidth="1"/>
    <col min="33" max="39" width="8.85546875" style="291" customWidth="1"/>
    <col min="40" max="40" width="0.5703125" style="291" customWidth="1"/>
    <col min="41" max="16384" width="9.140625" style="291" hidden="1"/>
  </cols>
  <sheetData>
    <row r="1" spans="1:38" ht="6.6" customHeight="1">
      <c r="A1" s="414"/>
      <c r="B1" s="312"/>
      <c r="C1" s="312"/>
      <c r="D1" s="312"/>
      <c r="E1" s="312"/>
      <c r="F1" s="312"/>
      <c r="G1" s="312"/>
      <c r="H1" s="312"/>
      <c r="I1" s="312"/>
      <c r="J1" s="312"/>
      <c r="K1" s="414"/>
      <c r="L1" s="312"/>
      <c r="M1" s="312"/>
      <c r="N1" s="312"/>
      <c r="O1" s="312"/>
      <c r="P1" s="312"/>
      <c r="Q1" s="312"/>
      <c r="R1" s="312"/>
      <c r="S1" s="312"/>
      <c r="T1" s="312"/>
      <c r="U1" s="414"/>
      <c r="V1" s="312"/>
      <c r="W1" s="312"/>
      <c r="X1" s="312"/>
      <c r="Y1" s="312"/>
      <c r="Z1" s="312"/>
      <c r="AA1" s="312"/>
      <c r="AB1" s="312"/>
      <c r="AC1" s="312"/>
      <c r="AD1" s="312"/>
    </row>
    <row r="2" spans="1:38" ht="17.45" customHeight="1">
      <c r="A2" s="751" t="s">
        <v>521</v>
      </c>
      <c r="B2" s="751"/>
      <c r="C2" s="751"/>
      <c r="D2" s="751"/>
      <c r="E2" s="751"/>
      <c r="F2" s="751"/>
      <c r="G2" s="751"/>
      <c r="H2" s="751"/>
      <c r="I2" s="751"/>
      <c r="J2" s="751"/>
      <c r="K2" s="751" t="s">
        <v>522</v>
      </c>
      <c r="L2" s="751"/>
      <c r="M2" s="751"/>
      <c r="N2" s="751"/>
      <c r="O2" s="751"/>
      <c r="P2" s="751"/>
      <c r="Q2" s="751"/>
      <c r="R2" s="751"/>
      <c r="S2" s="751"/>
      <c r="T2" s="751"/>
      <c r="U2" s="753" t="s">
        <v>523</v>
      </c>
      <c r="V2" s="753"/>
      <c r="W2" s="753"/>
      <c r="X2" s="753"/>
      <c r="Y2" s="753"/>
      <c r="Z2" s="753"/>
      <c r="AA2" s="753"/>
      <c r="AB2" s="753"/>
      <c r="AC2" s="753"/>
      <c r="AD2" s="753"/>
    </row>
    <row r="3" spans="1:38">
      <c r="A3" s="752"/>
      <c r="B3" s="752"/>
      <c r="C3" s="752"/>
      <c r="D3" s="752"/>
      <c r="E3" s="752"/>
      <c r="F3" s="752"/>
      <c r="G3" s="752"/>
      <c r="H3" s="752"/>
      <c r="I3" s="752"/>
      <c r="J3" s="752"/>
      <c r="K3" s="752"/>
      <c r="L3" s="752"/>
      <c r="M3" s="752"/>
      <c r="N3" s="752"/>
      <c r="O3" s="752"/>
      <c r="P3" s="752"/>
      <c r="Q3" s="752"/>
      <c r="R3" s="752"/>
      <c r="S3" s="752"/>
      <c r="T3" s="752"/>
      <c r="U3" s="754"/>
      <c r="V3" s="754"/>
      <c r="W3" s="754"/>
      <c r="X3" s="754"/>
      <c r="Y3" s="754"/>
      <c r="Z3" s="754"/>
      <c r="AA3" s="754"/>
      <c r="AB3" s="754"/>
      <c r="AC3" s="754"/>
      <c r="AD3" s="754"/>
      <c r="AF3" s="291" t="s">
        <v>529</v>
      </c>
      <c r="AG3" s="291" t="s">
        <v>530</v>
      </c>
      <c r="AH3" s="291" t="s">
        <v>155</v>
      </c>
      <c r="AI3" s="291" t="s">
        <v>196</v>
      </c>
      <c r="AJ3" s="291" t="s">
        <v>17</v>
      </c>
    </row>
    <row r="4" spans="1:38" s="299" customFormat="1">
      <c r="A4" s="338" t="s">
        <v>310</v>
      </c>
      <c r="B4" s="374"/>
      <c r="C4" s="374"/>
      <c r="D4" s="375"/>
      <c r="E4" s="338" t="s">
        <v>30</v>
      </c>
      <c r="F4" s="374"/>
      <c r="G4" s="375"/>
      <c r="H4" s="338" t="s">
        <v>581</v>
      </c>
      <c r="I4" s="374"/>
      <c r="J4" s="375"/>
      <c r="K4" s="338" t="s">
        <v>310</v>
      </c>
      <c r="L4" s="374"/>
      <c r="M4" s="374"/>
      <c r="N4" s="375"/>
      <c r="O4" s="338" t="s">
        <v>30</v>
      </c>
      <c r="P4" s="374"/>
      <c r="Q4" s="375"/>
      <c r="R4" s="338" t="s">
        <v>581</v>
      </c>
      <c r="S4" s="374"/>
      <c r="T4" s="375"/>
      <c r="U4" s="338" t="s">
        <v>310</v>
      </c>
      <c r="V4" s="374"/>
      <c r="W4" s="374"/>
      <c r="X4" s="375"/>
      <c r="Y4" s="338" t="s">
        <v>30</v>
      </c>
      <c r="Z4" s="374"/>
      <c r="AA4" s="375"/>
      <c r="AB4" s="338" t="s">
        <v>581</v>
      </c>
      <c r="AC4" s="374"/>
      <c r="AD4" s="375"/>
      <c r="AE4" s="291"/>
      <c r="AF4" s="291">
        <f>$AI$4-($AH$4-$AI$4)/2</f>
        <v>0</v>
      </c>
      <c r="AG4" s="429" t="e">
        <f t="shared" ref="AG4:AG24" si="0">NORMSDIST(($AH$4-AF4-$X$13)/$X$15)-NORMSDIST(($AI$4-AF4-$X$13)/$X$15)</f>
        <v>#VALUE!</v>
      </c>
      <c r="AH4" s="430">
        <f>$G$9</f>
        <v>0</v>
      </c>
      <c r="AI4" s="430">
        <f>$I$9</f>
        <v>0</v>
      </c>
      <c r="AJ4" s="291">
        <v>0</v>
      </c>
      <c r="AK4" s="291"/>
      <c r="AL4" s="291"/>
    </row>
    <row r="5" spans="1:38" s="415" customFormat="1">
      <c r="A5" s="763">
        <f>'Header Info'!C7</f>
        <v>0</v>
      </c>
      <c r="B5" s="764"/>
      <c r="C5" s="764"/>
      <c r="D5" s="765"/>
      <c r="E5" s="757"/>
      <c r="F5" s="758"/>
      <c r="G5" s="759"/>
      <c r="H5" s="757"/>
      <c r="I5" s="758"/>
      <c r="J5" s="759"/>
      <c r="K5" s="763">
        <f>[2]INTRO!$C$6</f>
        <v>0</v>
      </c>
      <c r="L5" s="764"/>
      <c r="M5" s="764"/>
      <c r="N5" s="765"/>
      <c r="O5" s="757" t="str">
        <f>IF(E5&lt;&gt;"",E5,"")</f>
        <v/>
      </c>
      <c r="P5" s="758"/>
      <c r="Q5" s="759"/>
      <c r="R5" s="757" t="str">
        <f>IF(H5&lt;&gt;"",H5,"")</f>
        <v/>
      </c>
      <c r="S5" s="758"/>
      <c r="T5" s="759"/>
      <c r="U5" s="763">
        <f>[2]INTRO!$C$6</f>
        <v>0</v>
      </c>
      <c r="V5" s="764"/>
      <c r="W5" s="764"/>
      <c r="X5" s="765"/>
      <c r="Y5" s="757" t="str">
        <f>IF(O5&lt;&gt;"",O5,"")</f>
        <v/>
      </c>
      <c r="Z5" s="758"/>
      <c r="AA5" s="759"/>
      <c r="AB5" s="757" t="str">
        <f>IF(R5&lt;&gt;"",R5,"")</f>
        <v/>
      </c>
      <c r="AC5" s="758"/>
      <c r="AD5" s="759"/>
      <c r="AE5" s="291"/>
      <c r="AF5" s="291">
        <f t="shared" ref="AF5:AF34" si="1">AF4+0.05*($AH$4-$AI$4)</f>
        <v>0</v>
      </c>
      <c r="AG5" s="429" t="e">
        <f t="shared" si="0"/>
        <v>#VALUE!</v>
      </c>
      <c r="AH5" s="430">
        <f>$G$9</f>
        <v>0</v>
      </c>
      <c r="AI5" s="430">
        <f>$I$9</f>
        <v>0</v>
      </c>
      <c r="AJ5" s="291">
        <v>1</v>
      </c>
      <c r="AK5" s="291"/>
      <c r="AL5" s="291"/>
    </row>
    <row r="6" spans="1:38" s="299" customFormat="1">
      <c r="A6" s="338" t="s">
        <v>309</v>
      </c>
      <c r="B6" s="374"/>
      <c r="C6" s="374"/>
      <c r="D6" s="375"/>
      <c r="E6" s="338" t="s">
        <v>32</v>
      </c>
      <c r="F6" s="374"/>
      <c r="G6" s="375"/>
      <c r="H6" s="338" t="s">
        <v>35</v>
      </c>
      <c r="I6" s="374"/>
      <c r="J6" s="375"/>
      <c r="K6" s="338" t="s">
        <v>309</v>
      </c>
      <c r="L6" s="374"/>
      <c r="M6" s="374"/>
      <c r="N6" s="375"/>
      <c r="O6" s="338" t="s">
        <v>32</v>
      </c>
      <c r="P6" s="374"/>
      <c r="Q6" s="375"/>
      <c r="R6" s="338" t="s">
        <v>35</v>
      </c>
      <c r="S6" s="374"/>
      <c r="T6" s="375"/>
      <c r="U6" s="338" t="s">
        <v>309</v>
      </c>
      <c r="V6" s="374"/>
      <c r="W6" s="374"/>
      <c r="X6" s="375"/>
      <c r="Y6" s="338" t="s">
        <v>32</v>
      </c>
      <c r="Z6" s="374"/>
      <c r="AA6" s="375"/>
      <c r="AB6" s="338" t="s">
        <v>35</v>
      </c>
      <c r="AC6" s="374"/>
      <c r="AD6" s="375"/>
      <c r="AE6" s="291"/>
      <c r="AF6" s="291">
        <f t="shared" si="1"/>
        <v>0</v>
      </c>
      <c r="AG6" s="429" t="e">
        <f t="shared" si="0"/>
        <v>#VALUE!</v>
      </c>
      <c r="AH6" s="430"/>
      <c r="AI6" s="430"/>
      <c r="AJ6" s="291"/>
      <c r="AK6" s="291"/>
      <c r="AL6" s="291"/>
    </row>
    <row r="7" spans="1:38" s="415" customFormat="1">
      <c r="A7" s="763">
        <f>'Header Info'!C6</f>
        <v>0</v>
      </c>
      <c r="B7" s="764"/>
      <c r="C7" s="764"/>
      <c r="D7" s="765"/>
      <c r="E7" s="757"/>
      <c r="F7" s="758"/>
      <c r="G7" s="759"/>
      <c r="H7" s="757"/>
      <c r="I7" s="758"/>
      <c r="J7" s="759"/>
      <c r="K7" s="763">
        <f>[2]INTRO!$C$5</f>
        <v>0</v>
      </c>
      <c r="L7" s="764"/>
      <c r="M7" s="764"/>
      <c r="N7" s="765"/>
      <c r="O7" s="757" t="str">
        <f>IF(E7&lt;&gt;"",E7,"")</f>
        <v/>
      </c>
      <c r="P7" s="758"/>
      <c r="Q7" s="759"/>
      <c r="R7" s="757" t="str">
        <f>IF(H7&lt;&gt;"",H7,"")</f>
        <v/>
      </c>
      <c r="S7" s="758"/>
      <c r="T7" s="759"/>
      <c r="U7" s="763">
        <f>[2]INTRO!$C$5</f>
        <v>0</v>
      </c>
      <c r="V7" s="764"/>
      <c r="W7" s="764"/>
      <c r="X7" s="765"/>
      <c r="Y7" s="757" t="str">
        <f>IF(O7&lt;&gt;"",O7,"")</f>
        <v/>
      </c>
      <c r="Z7" s="758"/>
      <c r="AA7" s="759"/>
      <c r="AB7" s="757" t="str">
        <f>IF(R7&lt;&gt;"",R7,"")</f>
        <v/>
      </c>
      <c r="AC7" s="758"/>
      <c r="AD7" s="759"/>
      <c r="AE7" s="291"/>
      <c r="AF7" s="291">
        <f t="shared" si="1"/>
        <v>0</v>
      </c>
      <c r="AG7" s="429" t="e">
        <f t="shared" si="0"/>
        <v>#VALUE!</v>
      </c>
      <c r="AH7" s="430"/>
      <c r="AI7" s="430"/>
      <c r="AJ7" s="291"/>
      <c r="AK7" s="291"/>
      <c r="AL7" s="291"/>
    </row>
    <row r="8" spans="1:38" s="299" customFormat="1">
      <c r="A8" s="416" t="s">
        <v>18</v>
      </c>
      <c r="B8" s="417"/>
      <c r="C8" s="417"/>
      <c r="D8" s="418"/>
      <c r="E8" s="416" t="s">
        <v>34</v>
      </c>
      <c r="F8" s="417"/>
      <c r="G8" s="338" t="s">
        <v>582</v>
      </c>
      <c r="H8" s="375"/>
      <c r="I8" s="338" t="s">
        <v>583</v>
      </c>
      <c r="J8" s="375"/>
      <c r="K8" s="416" t="s">
        <v>18</v>
      </c>
      <c r="L8" s="417"/>
      <c r="M8" s="417"/>
      <c r="N8" s="418"/>
      <c r="O8" s="416" t="s">
        <v>34</v>
      </c>
      <c r="P8" s="417"/>
      <c r="Q8" s="338" t="s">
        <v>582</v>
      </c>
      <c r="R8" s="375"/>
      <c r="S8" s="338" t="s">
        <v>583</v>
      </c>
      <c r="T8" s="375"/>
      <c r="U8" s="416" t="s">
        <v>18</v>
      </c>
      <c r="V8" s="417"/>
      <c r="W8" s="417"/>
      <c r="X8" s="418"/>
      <c r="Y8" s="416" t="s">
        <v>34</v>
      </c>
      <c r="Z8" s="417"/>
      <c r="AA8" s="338" t="s">
        <v>582</v>
      </c>
      <c r="AB8" s="375"/>
      <c r="AC8" s="338" t="s">
        <v>583</v>
      </c>
      <c r="AD8" s="375"/>
      <c r="AE8" s="291"/>
      <c r="AF8" s="291">
        <f t="shared" si="1"/>
        <v>0</v>
      </c>
      <c r="AG8" s="429" t="e">
        <f t="shared" si="0"/>
        <v>#VALUE!</v>
      </c>
      <c r="AH8" s="430"/>
      <c r="AI8" s="430"/>
      <c r="AJ8" s="291"/>
      <c r="AK8" s="291"/>
      <c r="AL8" s="291"/>
    </row>
    <row r="9" spans="1:38" s="415" customFormat="1">
      <c r="A9" s="757"/>
      <c r="B9" s="758"/>
      <c r="C9" s="758"/>
      <c r="D9" s="759"/>
      <c r="E9" s="757"/>
      <c r="F9" s="759"/>
      <c r="G9" s="760"/>
      <c r="H9" s="761"/>
      <c r="I9" s="760"/>
      <c r="J9" s="761"/>
      <c r="K9" s="757" t="str">
        <f>IF(A9&lt;&gt;"",A9,"")</f>
        <v/>
      </c>
      <c r="L9" s="758"/>
      <c r="M9" s="758"/>
      <c r="N9" s="759"/>
      <c r="O9" s="757" t="str">
        <f>IF(E9&lt;&gt;"",E9,"")</f>
        <v/>
      </c>
      <c r="P9" s="759"/>
      <c r="Q9" s="760" t="str">
        <f>IF(G9&lt;&gt;"",G9,"")</f>
        <v/>
      </c>
      <c r="R9" s="761"/>
      <c r="S9" s="760" t="str">
        <f>IF(I9&lt;&gt;"",I9,"")</f>
        <v/>
      </c>
      <c r="T9" s="761"/>
      <c r="U9" s="757" t="str">
        <f>IF(K9&lt;&gt;"",K9,"")</f>
        <v/>
      </c>
      <c r="V9" s="758"/>
      <c r="W9" s="758"/>
      <c r="X9" s="759"/>
      <c r="Y9" s="757" t="str">
        <f>IF(O9&lt;&gt;"",O9,"")</f>
        <v/>
      </c>
      <c r="Z9" s="759"/>
      <c r="AA9" s="760" t="str">
        <f>IF(Q9&lt;&gt;"",Q9,"")</f>
        <v/>
      </c>
      <c r="AB9" s="761"/>
      <c r="AC9" s="760" t="str">
        <f>IF(S9&lt;&gt;"",S9,"")</f>
        <v/>
      </c>
      <c r="AD9" s="761"/>
      <c r="AE9" s="291"/>
      <c r="AF9" s="291">
        <f t="shared" si="1"/>
        <v>0</v>
      </c>
      <c r="AG9" s="429" t="e">
        <f t="shared" si="0"/>
        <v>#VALUE!</v>
      </c>
      <c r="AH9" s="430"/>
      <c r="AI9" s="430"/>
      <c r="AJ9" s="291"/>
      <c r="AK9" s="291"/>
      <c r="AL9" s="291"/>
    </row>
    <row r="10" spans="1:38">
      <c r="G10" s="756" t="str">
        <f>IF(I9&gt;G9,"Upper Limit Must be Greater than Lower Limit","")</f>
        <v/>
      </c>
      <c r="H10" s="756"/>
      <c r="I10" s="756"/>
      <c r="J10" s="756"/>
      <c r="AF10" s="291">
        <f t="shared" si="1"/>
        <v>0</v>
      </c>
      <c r="AG10" s="429" t="e">
        <f t="shared" si="0"/>
        <v>#VALUE!</v>
      </c>
      <c r="AH10" s="430"/>
      <c r="AI10" s="430"/>
    </row>
    <row r="11" spans="1:38">
      <c r="AF11" s="291">
        <f t="shared" si="1"/>
        <v>0</v>
      </c>
      <c r="AG11" s="429" t="e">
        <f t="shared" si="0"/>
        <v>#VALUE!</v>
      </c>
      <c r="AH11" s="430"/>
      <c r="AI11" s="430"/>
    </row>
    <row r="12" spans="1:38">
      <c r="A12" s="419" t="s">
        <v>584</v>
      </c>
      <c r="B12" s="420"/>
      <c r="C12" s="420"/>
      <c r="D12" s="421"/>
      <c r="E12" s="303"/>
      <c r="F12" s="303"/>
      <c r="G12" s="303"/>
      <c r="H12" s="303"/>
      <c r="I12" s="303"/>
      <c r="J12" s="303"/>
      <c r="K12" s="419" t="s">
        <v>584</v>
      </c>
      <c r="L12" s="420"/>
      <c r="M12" s="420"/>
      <c r="N12" s="421"/>
      <c r="O12" s="303"/>
      <c r="P12" s="303"/>
      <c r="Q12" s="303"/>
      <c r="R12" s="303"/>
      <c r="S12" s="303"/>
      <c r="T12" s="303"/>
      <c r="W12" s="762" t="s">
        <v>528</v>
      </c>
      <c r="X12" s="762"/>
      <c r="Y12" s="762"/>
      <c r="AA12" s="762" t="s">
        <v>526</v>
      </c>
      <c r="AB12" s="762"/>
      <c r="AC12" s="762"/>
      <c r="AF12" s="291">
        <f t="shared" si="1"/>
        <v>0</v>
      </c>
      <c r="AG12" s="429" t="e">
        <f t="shared" si="0"/>
        <v>#VALUE!</v>
      </c>
      <c r="AH12" s="430"/>
      <c r="AI12" s="430"/>
    </row>
    <row r="13" spans="1:38" ht="15.75">
      <c r="A13" s="340" t="s">
        <v>20</v>
      </c>
      <c r="B13" s="340" t="s">
        <v>585</v>
      </c>
      <c r="C13" s="340" t="s">
        <v>643</v>
      </c>
      <c r="D13" s="340" t="s">
        <v>586</v>
      </c>
      <c r="E13" s="303"/>
      <c r="F13" s="291" t="s">
        <v>587</v>
      </c>
      <c r="G13" s="303"/>
      <c r="H13" s="303"/>
      <c r="I13" s="303"/>
      <c r="J13" s="303"/>
      <c r="K13" s="340" t="s">
        <v>20</v>
      </c>
      <c r="L13" s="340" t="s">
        <v>585</v>
      </c>
      <c r="M13" s="340" t="s">
        <v>643</v>
      </c>
      <c r="N13" s="340" t="s">
        <v>586</v>
      </c>
      <c r="O13" s="303"/>
      <c r="P13" s="291" t="s">
        <v>587</v>
      </c>
      <c r="Q13" s="303"/>
      <c r="R13" s="303"/>
      <c r="S13" s="303"/>
      <c r="T13" s="303"/>
      <c r="W13" s="340" t="s">
        <v>525</v>
      </c>
      <c r="X13" s="755" t="str">
        <f>IF(D37&lt;&gt;"",D37,"")</f>
        <v/>
      </c>
      <c r="Y13" s="755"/>
      <c r="AA13" s="340" t="s">
        <v>525</v>
      </c>
      <c r="AB13" s="755" t="str">
        <f>IF(N37&lt;&gt;"",N37,"")</f>
        <v/>
      </c>
      <c r="AC13" s="755"/>
      <c r="AF13" s="291">
        <f t="shared" si="1"/>
        <v>0</v>
      </c>
      <c r="AG13" s="429" t="e">
        <f t="shared" si="0"/>
        <v>#VALUE!</v>
      </c>
      <c r="AH13" s="430"/>
      <c r="AI13" s="430"/>
    </row>
    <row r="14" spans="1:38">
      <c r="A14" s="340">
        <v>1</v>
      </c>
      <c r="B14" s="423"/>
      <c r="C14" s="424"/>
      <c r="D14" s="425">
        <f>IF(AND(C14=0,C15=0),0,IF(AND(C14=0,C15&lt;&gt;0),0.025,IF(C14&lt;10,(C14+0.5)/20,IF(C14=10,0.5,IF(AND(C14&gt;10,C14&lt;20),(C14-0.5)/20,IF(AND(C14=20,A14&lt;&gt;9),0.975,IF(AND(C14=20,A14=9),1,"?")))))))</f>
        <v>0</v>
      </c>
      <c r="E14" s="303"/>
      <c r="F14" s="426" t="s">
        <v>588</v>
      </c>
      <c r="G14" s="427"/>
      <c r="H14" s="303"/>
      <c r="I14" s="303"/>
      <c r="J14" s="303"/>
      <c r="K14" s="340">
        <v>1</v>
      </c>
      <c r="L14" s="423"/>
      <c r="M14" s="424"/>
      <c r="N14" s="425">
        <f t="shared" ref="N14:N21" si="2">IF(AND(M13=0,M14=0),0,IF(AND(M14=0,M13&lt;&gt;0),0.025,IF(M14&lt;10,(M14+0.5)/20,IF(M14=10,0.5,IF(AND(M14&gt;10,M14&lt;20),(M14-0.5)/20,IF(AND(M14=20,K14&lt;&gt;1),0.975,IF(AND(M14=20,K14=1),1,"?")))))))</f>
        <v>2.5000000000000001E-2</v>
      </c>
      <c r="O14" s="303"/>
      <c r="P14" s="426" t="s">
        <v>588</v>
      </c>
      <c r="Q14" s="427"/>
      <c r="R14" s="303"/>
      <c r="S14" s="303"/>
      <c r="T14" s="303"/>
      <c r="W14" s="340" t="s">
        <v>86</v>
      </c>
      <c r="X14" s="755" t="str">
        <f>IF(H37&lt;&gt;"",H37,"")</f>
        <v/>
      </c>
      <c r="Y14" s="755"/>
      <c r="AA14" s="340" t="s">
        <v>86</v>
      </c>
      <c r="AB14" s="755" t="str">
        <f>IF(R37&lt;&gt;"",R37,"")</f>
        <v/>
      </c>
      <c r="AC14" s="755"/>
      <c r="AF14" s="291">
        <f t="shared" si="1"/>
        <v>0</v>
      </c>
      <c r="AG14" s="429" t="e">
        <f t="shared" si="0"/>
        <v>#VALUE!</v>
      </c>
      <c r="AH14" s="430"/>
      <c r="AI14" s="430"/>
    </row>
    <row r="15" spans="1:38" ht="15.75">
      <c r="A15" s="340">
        <v>2</v>
      </c>
      <c r="B15" s="423"/>
      <c r="C15" s="424"/>
      <c r="D15" s="425">
        <f t="shared" ref="D15:D22" si="3">IF(AND(C15=0,C16=0),0,IF(AND(C15=0,C16&lt;&gt;0),0.025,IF(C15&lt;10,(C15+0.5)/20,IF(C15=10,0.5,IF(AND(C15&gt;10,C15&lt;20),(C15-0.5)/20,IF(AND(C15=20,A15&lt;&gt;9),0.975,IF(AND(C15=20,A15=9),1,"?")))))))</f>
        <v>0</v>
      </c>
      <c r="E15" s="303"/>
      <c r="G15" s="427"/>
      <c r="H15" s="303"/>
      <c r="I15" s="303"/>
      <c r="J15" s="303"/>
      <c r="K15" s="340">
        <v>2</v>
      </c>
      <c r="L15" s="423"/>
      <c r="M15" s="424"/>
      <c r="N15" s="425">
        <f t="shared" si="2"/>
        <v>0</v>
      </c>
      <c r="O15" s="303"/>
      <c r="Q15" s="427"/>
      <c r="R15" s="303"/>
      <c r="S15" s="303"/>
      <c r="T15" s="303"/>
      <c r="W15" s="428" t="s">
        <v>524</v>
      </c>
      <c r="X15" s="755" t="str">
        <f>IF(X14&lt;&gt;"",X14/5.15,"")</f>
        <v/>
      </c>
      <c r="Y15" s="755"/>
      <c r="AA15" s="428" t="s">
        <v>524</v>
      </c>
      <c r="AB15" s="755" t="str">
        <f>IF(AB14&lt;&gt;"",AB14/5.15,"")</f>
        <v/>
      </c>
      <c r="AC15" s="755"/>
      <c r="AF15" s="291">
        <f t="shared" si="1"/>
        <v>0</v>
      </c>
      <c r="AG15" s="429" t="e">
        <f t="shared" si="0"/>
        <v>#VALUE!</v>
      </c>
      <c r="AH15" s="430"/>
      <c r="AI15" s="430"/>
    </row>
    <row r="16" spans="1:38">
      <c r="A16" s="340">
        <v>3</v>
      </c>
      <c r="B16" s="423"/>
      <c r="C16" s="424"/>
      <c r="D16" s="425">
        <f t="shared" si="3"/>
        <v>0</v>
      </c>
      <c r="E16" s="303"/>
      <c r="G16" s="427"/>
      <c r="H16" s="303"/>
      <c r="I16" s="303"/>
      <c r="J16" s="303"/>
      <c r="K16" s="340">
        <v>3</v>
      </c>
      <c r="L16" s="423"/>
      <c r="M16" s="424"/>
      <c r="N16" s="425">
        <f t="shared" si="2"/>
        <v>0</v>
      </c>
      <c r="O16" s="303"/>
      <c r="Q16" s="427"/>
      <c r="R16" s="303"/>
      <c r="S16" s="303"/>
      <c r="T16" s="303"/>
      <c r="W16" s="291" t="s">
        <v>527</v>
      </c>
      <c r="AF16" s="291">
        <f t="shared" si="1"/>
        <v>0</v>
      </c>
      <c r="AG16" s="429" t="e">
        <f t="shared" si="0"/>
        <v>#VALUE!</v>
      </c>
      <c r="AH16" s="430"/>
      <c r="AI16" s="430"/>
    </row>
    <row r="17" spans="1:35">
      <c r="A17" s="340">
        <v>4</v>
      </c>
      <c r="B17" s="423"/>
      <c r="C17" s="424"/>
      <c r="D17" s="425">
        <f t="shared" si="3"/>
        <v>0</v>
      </c>
      <c r="E17" s="303"/>
      <c r="G17" s="427"/>
      <c r="H17" s="303"/>
      <c r="I17" s="303"/>
      <c r="J17" s="303"/>
      <c r="K17" s="340">
        <v>4</v>
      </c>
      <c r="L17" s="423"/>
      <c r="M17" s="424"/>
      <c r="N17" s="425">
        <f t="shared" si="2"/>
        <v>0</v>
      </c>
      <c r="O17" s="303"/>
      <c r="Q17" s="427"/>
      <c r="R17" s="303"/>
      <c r="S17" s="303"/>
      <c r="T17" s="303"/>
      <c r="AF17" s="291">
        <f t="shared" si="1"/>
        <v>0</v>
      </c>
      <c r="AG17" s="429" t="e">
        <f t="shared" si="0"/>
        <v>#VALUE!</v>
      </c>
      <c r="AH17" s="430"/>
      <c r="AI17" s="430"/>
    </row>
    <row r="18" spans="1:35">
      <c r="A18" s="340">
        <v>5</v>
      </c>
      <c r="B18" s="423"/>
      <c r="C18" s="424"/>
      <c r="D18" s="425">
        <f t="shared" si="3"/>
        <v>0</v>
      </c>
      <c r="E18" s="303"/>
      <c r="G18" s="427"/>
      <c r="H18" s="303"/>
      <c r="I18" s="303"/>
      <c r="J18" s="303"/>
      <c r="K18" s="340">
        <v>5</v>
      </c>
      <c r="L18" s="423"/>
      <c r="M18" s="424"/>
      <c r="N18" s="425">
        <f t="shared" si="2"/>
        <v>0</v>
      </c>
      <c r="O18" s="303"/>
      <c r="Q18" s="427"/>
      <c r="R18" s="303"/>
      <c r="S18" s="303"/>
      <c r="T18" s="303"/>
      <c r="AF18" s="291">
        <f t="shared" si="1"/>
        <v>0</v>
      </c>
      <c r="AG18" s="429" t="e">
        <f t="shared" si="0"/>
        <v>#VALUE!</v>
      </c>
      <c r="AH18" s="430"/>
      <c r="AI18" s="430"/>
    </row>
    <row r="19" spans="1:35">
      <c r="A19" s="340">
        <v>6</v>
      </c>
      <c r="B19" s="423"/>
      <c r="C19" s="424"/>
      <c r="D19" s="425">
        <f t="shared" si="3"/>
        <v>0</v>
      </c>
      <c r="E19" s="303"/>
      <c r="G19" s="427"/>
      <c r="H19" s="303"/>
      <c r="I19" s="303"/>
      <c r="J19" s="303"/>
      <c r="K19" s="340">
        <v>6</v>
      </c>
      <c r="L19" s="423"/>
      <c r="M19" s="424"/>
      <c r="N19" s="425">
        <f t="shared" si="2"/>
        <v>0</v>
      </c>
      <c r="O19" s="303"/>
      <c r="Q19" s="427"/>
      <c r="R19" s="303"/>
      <c r="S19" s="303"/>
      <c r="T19" s="303"/>
      <c r="AF19" s="291">
        <f t="shared" si="1"/>
        <v>0</v>
      </c>
      <c r="AG19" s="429" t="e">
        <f t="shared" si="0"/>
        <v>#VALUE!</v>
      </c>
      <c r="AH19" s="430"/>
      <c r="AI19" s="430"/>
    </row>
    <row r="20" spans="1:35">
      <c r="A20" s="340">
        <v>7</v>
      </c>
      <c r="B20" s="423"/>
      <c r="C20" s="424"/>
      <c r="D20" s="425">
        <f t="shared" si="3"/>
        <v>0</v>
      </c>
      <c r="E20" s="303"/>
      <c r="G20" s="427"/>
      <c r="H20" s="303"/>
      <c r="I20" s="303"/>
      <c r="J20" s="303"/>
      <c r="K20" s="340">
        <v>7</v>
      </c>
      <c r="L20" s="423"/>
      <c r="M20" s="424"/>
      <c r="N20" s="425">
        <f t="shared" si="2"/>
        <v>0</v>
      </c>
      <c r="O20" s="303"/>
      <c r="Q20" s="427"/>
      <c r="R20" s="303"/>
      <c r="S20" s="303"/>
      <c r="T20" s="303"/>
      <c r="AF20" s="291">
        <f t="shared" si="1"/>
        <v>0</v>
      </c>
      <c r="AG20" s="429" t="e">
        <f t="shared" si="0"/>
        <v>#VALUE!</v>
      </c>
      <c r="AH20" s="430"/>
      <c r="AI20" s="430"/>
    </row>
    <row r="21" spans="1:35">
      <c r="A21" s="340">
        <v>8</v>
      </c>
      <c r="B21" s="423"/>
      <c r="C21" s="424"/>
      <c r="D21" s="425">
        <f t="shared" si="3"/>
        <v>0</v>
      </c>
      <c r="E21" s="303"/>
      <c r="G21" s="427"/>
      <c r="H21" s="303"/>
      <c r="I21" s="303"/>
      <c r="J21" s="303"/>
      <c r="K21" s="340">
        <v>8</v>
      </c>
      <c r="L21" s="423"/>
      <c r="M21" s="424"/>
      <c r="N21" s="425">
        <f t="shared" si="2"/>
        <v>0</v>
      </c>
      <c r="O21" s="303"/>
      <c r="Q21" s="427"/>
      <c r="R21" s="303"/>
      <c r="S21" s="303"/>
      <c r="T21" s="303"/>
      <c r="AF21" s="291">
        <f t="shared" si="1"/>
        <v>0</v>
      </c>
      <c r="AG21" s="429" t="e">
        <f t="shared" si="0"/>
        <v>#VALUE!</v>
      </c>
      <c r="AH21" s="430"/>
      <c r="AI21" s="430"/>
    </row>
    <row r="22" spans="1:35">
      <c r="A22" s="340">
        <v>9</v>
      </c>
      <c r="B22" s="423"/>
      <c r="C22" s="424"/>
      <c r="D22" s="425">
        <f t="shared" si="3"/>
        <v>0</v>
      </c>
      <c r="E22" s="303"/>
      <c r="G22" s="427"/>
      <c r="H22" s="303"/>
      <c r="I22" s="303"/>
      <c r="J22" s="303"/>
      <c r="K22" s="340">
        <v>9</v>
      </c>
      <c r="L22" s="423"/>
      <c r="M22" s="424"/>
      <c r="N22" s="425">
        <f>IF(AND(M21=0,M22=0),0,IF(AND(M22=0,M21&lt;&gt;0),0.025,IF(M22&lt;10,(M22+0.5)/20,IF(M22=10,0.5,IF(AND(M22&gt;10,M22&lt;20),(M22-0.5)/20,IF(AND(M22=20,K22&lt;&gt;1),0.975,IF(AND(M22=20,K22=1),1,"?")))))))</f>
        <v>0</v>
      </c>
      <c r="O22" s="303"/>
      <c r="Q22" s="427"/>
      <c r="R22" s="303"/>
      <c r="S22" s="303"/>
      <c r="T22" s="303"/>
      <c r="AF22" s="291">
        <f t="shared" si="1"/>
        <v>0</v>
      </c>
      <c r="AG22" s="429" t="e">
        <f t="shared" si="0"/>
        <v>#VALUE!</v>
      </c>
      <c r="AH22" s="430"/>
      <c r="AI22" s="430"/>
    </row>
    <row r="23" spans="1:35">
      <c r="B23" s="431"/>
      <c r="E23" s="303"/>
      <c r="G23" s="303"/>
      <c r="H23" s="303"/>
      <c r="I23" s="303"/>
      <c r="J23" s="303"/>
      <c r="O23" s="303"/>
      <c r="Q23" s="303"/>
      <c r="R23" s="303"/>
      <c r="S23" s="303"/>
      <c r="T23" s="303"/>
      <c r="AF23" s="291">
        <f t="shared" si="1"/>
        <v>0</v>
      </c>
      <c r="AG23" s="429" t="e">
        <f t="shared" si="0"/>
        <v>#VALUE!</v>
      </c>
      <c r="AH23" s="430"/>
      <c r="AI23" s="430"/>
    </row>
    <row r="24" spans="1:35">
      <c r="E24" s="303"/>
      <c r="G24" s="303"/>
      <c r="H24" s="303"/>
      <c r="I24" s="303"/>
      <c r="J24" s="303"/>
      <c r="O24" s="303"/>
      <c r="Q24" s="303"/>
      <c r="R24" s="303"/>
      <c r="S24" s="303"/>
      <c r="T24" s="303"/>
      <c r="AF24" s="291">
        <f t="shared" si="1"/>
        <v>0</v>
      </c>
      <c r="AG24" s="429" t="e">
        <f t="shared" si="0"/>
        <v>#VALUE!</v>
      </c>
      <c r="AH24" s="430"/>
      <c r="AI24" s="430"/>
    </row>
    <row r="25" spans="1:35">
      <c r="B25" s="291" t="s">
        <v>589</v>
      </c>
      <c r="E25" s="303"/>
      <c r="G25" s="303"/>
      <c r="H25" s="303"/>
      <c r="I25" s="303"/>
      <c r="J25" s="303"/>
      <c r="L25" s="291" t="s">
        <v>589</v>
      </c>
      <c r="O25" s="303"/>
      <c r="Q25" s="303"/>
      <c r="R25" s="303"/>
      <c r="S25" s="303"/>
      <c r="T25" s="303"/>
      <c r="AF25" s="291">
        <f t="shared" si="1"/>
        <v>0</v>
      </c>
      <c r="AG25" s="429" t="e">
        <f t="shared" ref="AG25:AG43" si="4">NORMSDIST(($AH$4-AF25-$AB$13)/$AB$15)-NORMSDIST(($AI$4-AF25-$AB$13)/$AB$15)</f>
        <v>#VALUE!</v>
      </c>
      <c r="AH25" s="430"/>
      <c r="AI25" s="430"/>
    </row>
    <row r="26" spans="1:35">
      <c r="B26" s="291" t="s">
        <v>590</v>
      </c>
      <c r="E26" s="303"/>
      <c r="G26" s="303"/>
      <c r="H26" s="303"/>
      <c r="I26" s="303"/>
      <c r="J26" s="303"/>
      <c r="L26" s="291" t="s">
        <v>590</v>
      </c>
      <c r="O26" s="303"/>
      <c r="Q26" s="303"/>
      <c r="R26" s="303"/>
      <c r="S26" s="303"/>
      <c r="T26" s="303"/>
      <c r="AF26" s="291">
        <f t="shared" si="1"/>
        <v>0</v>
      </c>
      <c r="AG26" s="429" t="e">
        <f t="shared" si="4"/>
        <v>#VALUE!</v>
      </c>
      <c r="AH26" s="430"/>
      <c r="AI26" s="430"/>
    </row>
    <row r="27" spans="1:35" ht="15.75">
      <c r="B27" s="312" t="s">
        <v>591</v>
      </c>
      <c r="C27" s="312"/>
      <c r="D27" s="424"/>
      <c r="E27" s="303"/>
      <c r="F27" s="303"/>
      <c r="G27" s="303"/>
      <c r="H27" s="303"/>
      <c r="I27" s="303"/>
      <c r="J27" s="303"/>
      <c r="L27" s="312" t="s">
        <v>591</v>
      </c>
      <c r="M27" s="312"/>
      <c r="N27" s="424"/>
      <c r="O27" s="303"/>
      <c r="P27" s="303"/>
      <c r="Q27" s="303"/>
      <c r="R27" s="303"/>
      <c r="S27" s="303"/>
      <c r="T27" s="303"/>
      <c r="AF27" s="291">
        <f t="shared" si="1"/>
        <v>0</v>
      </c>
      <c r="AG27" s="429" t="e">
        <f t="shared" si="4"/>
        <v>#VALUE!</v>
      </c>
      <c r="AH27" s="430"/>
      <c r="AI27" s="430"/>
    </row>
    <row r="28" spans="1:35" ht="15.75">
      <c r="B28" s="312" t="s">
        <v>592</v>
      </c>
      <c r="C28" s="312"/>
      <c r="D28" s="424"/>
      <c r="E28" s="303"/>
      <c r="F28" s="303"/>
      <c r="G28" s="303"/>
      <c r="H28" s="303"/>
      <c r="I28" s="303"/>
      <c r="J28" s="303"/>
      <c r="L28" s="312" t="s">
        <v>592</v>
      </c>
      <c r="M28" s="312"/>
      <c r="N28" s="424"/>
      <c r="O28" s="303"/>
      <c r="P28" s="303"/>
      <c r="Q28" s="303"/>
      <c r="R28" s="303"/>
      <c r="S28" s="303"/>
      <c r="T28" s="303"/>
      <c r="AF28" s="291">
        <f t="shared" si="1"/>
        <v>0</v>
      </c>
      <c r="AG28" s="429" t="e">
        <f t="shared" si="4"/>
        <v>#VALUE!</v>
      </c>
      <c r="AH28" s="430"/>
      <c r="AI28" s="430"/>
    </row>
    <row r="29" spans="1:35" ht="15.75">
      <c r="B29" s="312" t="s">
        <v>593</v>
      </c>
      <c r="C29" s="312"/>
      <c r="D29" s="424"/>
      <c r="E29" s="303"/>
      <c r="F29" s="303"/>
      <c r="G29" s="303"/>
      <c r="H29" s="303"/>
      <c r="I29" s="303"/>
      <c r="J29" s="303"/>
      <c r="L29" s="312" t="s">
        <v>593</v>
      </c>
      <c r="M29" s="312"/>
      <c r="N29" s="424"/>
      <c r="O29" s="303"/>
      <c r="P29" s="303"/>
      <c r="Q29" s="303"/>
      <c r="R29" s="303"/>
      <c r="S29" s="303"/>
      <c r="T29" s="303"/>
      <c r="AF29" s="291">
        <f t="shared" si="1"/>
        <v>0</v>
      </c>
      <c r="AG29" s="429" t="e">
        <f t="shared" si="4"/>
        <v>#VALUE!</v>
      </c>
      <c r="AH29" s="430"/>
      <c r="AI29" s="430"/>
    </row>
    <row r="30" spans="1:35">
      <c r="E30" s="303"/>
      <c r="F30" s="303"/>
      <c r="G30" s="303"/>
      <c r="H30" s="303"/>
      <c r="I30" s="303"/>
      <c r="J30" s="303"/>
      <c r="O30" s="303"/>
      <c r="P30" s="303"/>
      <c r="Q30" s="303"/>
      <c r="R30" s="303"/>
      <c r="S30" s="303"/>
      <c r="T30" s="303"/>
      <c r="AF30" s="291">
        <f t="shared" si="1"/>
        <v>0</v>
      </c>
      <c r="AG30" s="429" t="e">
        <f t="shared" si="4"/>
        <v>#VALUE!</v>
      </c>
      <c r="AH30" s="430"/>
      <c r="AI30" s="430"/>
    </row>
    <row r="31" spans="1:35">
      <c r="E31" s="303"/>
      <c r="F31" s="303"/>
      <c r="G31" s="303"/>
      <c r="H31" s="303"/>
      <c r="I31" s="303"/>
      <c r="J31" s="303"/>
      <c r="O31" s="303"/>
      <c r="P31" s="303"/>
      <c r="Q31" s="303"/>
      <c r="R31" s="303"/>
      <c r="S31" s="303"/>
      <c r="T31" s="303"/>
      <c r="AF31" s="291">
        <f t="shared" si="1"/>
        <v>0</v>
      </c>
      <c r="AG31" s="429" t="e">
        <f t="shared" si="4"/>
        <v>#VALUE!</v>
      </c>
      <c r="AH31" s="430"/>
      <c r="AI31" s="430"/>
    </row>
    <row r="32" spans="1:35">
      <c r="E32" s="303"/>
      <c r="F32" s="303"/>
      <c r="G32" s="303"/>
      <c r="H32" s="303"/>
      <c r="I32" s="303"/>
      <c r="J32" s="303"/>
      <c r="O32" s="303"/>
      <c r="P32" s="303"/>
      <c r="Q32" s="303"/>
      <c r="R32" s="303"/>
      <c r="S32" s="303"/>
      <c r="T32" s="303"/>
      <c r="AF32" s="291">
        <f t="shared" si="1"/>
        <v>0</v>
      </c>
      <c r="AG32" s="429" t="e">
        <f t="shared" si="4"/>
        <v>#VALUE!</v>
      </c>
      <c r="AH32" s="430"/>
      <c r="AI32" s="430"/>
    </row>
    <row r="33" spans="1:35">
      <c r="E33" s="303"/>
      <c r="F33" s="303"/>
      <c r="G33" s="303"/>
      <c r="H33" s="303"/>
      <c r="I33" s="303"/>
      <c r="J33" s="303"/>
      <c r="O33" s="303"/>
      <c r="P33" s="303"/>
      <c r="Q33" s="303"/>
      <c r="R33" s="303"/>
      <c r="S33" s="303"/>
      <c r="T33" s="303"/>
      <c r="AF33" s="291">
        <f t="shared" si="1"/>
        <v>0</v>
      </c>
      <c r="AG33" s="429" t="e">
        <f t="shared" si="4"/>
        <v>#VALUE!</v>
      </c>
      <c r="AH33" s="430"/>
      <c r="AI33" s="430"/>
    </row>
    <row r="34" spans="1:35" ht="15.75">
      <c r="A34" s="432" t="s">
        <v>38</v>
      </c>
      <c r="B34" s="433"/>
      <c r="C34" s="433"/>
      <c r="D34" s="434"/>
      <c r="E34" s="433"/>
      <c r="F34" s="433"/>
      <c r="G34" s="433"/>
      <c r="H34" s="435"/>
      <c r="I34" s="341"/>
      <c r="J34" s="342"/>
      <c r="K34" s="432" t="s">
        <v>38</v>
      </c>
      <c r="L34" s="433"/>
      <c r="M34" s="433"/>
      <c r="N34" s="434"/>
      <c r="O34" s="433"/>
      <c r="P34" s="433"/>
      <c r="Q34" s="433"/>
      <c r="R34" s="435"/>
      <c r="S34" s="341"/>
      <c r="T34" s="342"/>
      <c r="AF34" s="291">
        <f t="shared" si="1"/>
        <v>0</v>
      </c>
      <c r="AG34" s="429" t="e">
        <f t="shared" si="4"/>
        <v>#VALUE!</v>
      </c>
      <c r="AH34" s="430"/>
      <c r="AI34" s="430"/>
    </row>
    <row r="35" spans="1:35">
      <c r="A35" s="436" t="s">
        <v>594</v>
      </c>
      <c r="B35" s="311"/>
      <c r="C35" s="311"/>
      <c r="D35" s="311"/>
      <c r="E35" s="311"/>
      <c r="F35" s="436" t="s">
        <v>614</v>
      </c>
      <c r="G35" s="311"/>
      <c r="H35" s="311"/>
      <c r="I35" s="311"/>
      <c r="J35" s="313"/>
      <c r="K35" s="436" t="s">
        <v>594</v>
      </c>
      <c r="L35" s="311"/>
      <c r="M35" s="311"/>
      <c r="N35" s="311"/>
      <c r="O35" s="311"/>
      <c r="P35" s="436" t="s">
        <v>614</v>
      </c>
      <c r="Q35" s="311"/>
      <c r="R35" s="311"/>
      <c r="S35" s="311"/>
      <c r="T35" s="313"/>
      <c r="AF35" s="291" t="e">
        <f>#REF!+0.05*($AH$4-$AI$4)</f>
        <v>#REF!</v>
      </c>
      <c r="AG35" s="429" t="e">
        <f t="shared" si="4"/>
        <v>#REF!</v>
      </c>
      <c r="AH35" s="430"/>
      <c r="AI35" s="430"/>
    </row>
    <row r="36" spans="1:35">
      <c r="A36" s="437"/>
      <c r="B36" s="330" t="s">
        <v>39</v>
      </c>
      <c r="C36" s="328" t="s">
        <v>40</v>
      </c>
      <c r="D36" s="426" t="str">
        <f>IF(D27&lt;&gt;"",CONCATENATE(TEXT($I$9,"0.0000")," - (",TEXT($D$27,"0.000"),")"),"")</f>
        <v/>
      </c>
      <c r="F36" s="438" t="s">
        <v>19</v>
      </c>
      <c r="G36" s="328" t="s">
        <v>40</v>
      </c>
      <c r="H36" s="426" t="str">
        <f>IF(D28&lt;&gt;"",CONCATENATE("(",TEXT($D$28,"0.0000")," - (",TEXT($D$29,"0.0000"),")) / ",1.08),"")</f>
        <v/>
      </c>
      <c r="J36" s="297"/>
      <c r="K36" s="437"/>
      <c r="L36" s="330" t="s">
        <v>39</v>
      </c>
      <c r="M36" s="328" t="s">
        <v>40</v>
      </c>
      <c r="N36" s="426" t="str">
        <f>IF(N27&lt;&gt;"",CONCATENATE(TEXT($Q$9,"0.0000")," - (",TEXT($N$27,"0.000"),")"),"")</f>
        <v/>
      </c>
      <c r="P36" s="438" t="s">
        <v>19</v>
      </c>
      <c r="Q36" s="328" t="s">
        <v>40</v>
      </c>
      <c r="R36" s="426" t="str">
        <f>IF(N28&lt;&gt;"",CONCATENATE("(",TEXT($N$29,"0.0000")," - (",TEXT($N$28,"0.0000"),")) / ",1.08),"")</f>
        <v/>
      </c>
      <c r="T36" s="297"/>
      <c r="AF36" s="291" t="e">
        <f t="shared" ref="AF36:AF43" si="5">AF35+0.05*($AH$4-$AI$4)</f>
        <v>#REF!</v>
      </c>
      <c r="AG36" s="429" t="e">
        <f t="shared" si="4"/>
        <v>#REF!</v>
      </c>
      <c r="AH36" s="430"/>
      <c r="AI36" s="430"/>
    </row>
    <row r="37" spans="1:35">
      <c r="A37" s="300"/>
      <c r="B37" s="328"/>
      <c r="C37" s="328" t="s">
        <v>40</v>
      </c>
      <c r="D37" s="439" t="str">
        <f>IF(D27&lt;&gt;"",$I$9-$D$27,"")</f>
        <v/>
      </c>
      <c r="F37" s="300"/>
      <c r="G37" s="328" t="s">
        <v>40</v>
      </c>
      <c r="H37" s="439" t="str">
        <f>IF(D28&lt;&gt;"",($D$28-$D$29)/1.08,"")</f>
        <v/>
      </c>
      <c r="J37" s="297"/>
      <c r="K37" s="300"/>
      <c r="L37" s="328"/>
      <c r="M37" s="328" t="s">
        <v>40</v>
      </c>
      <c r="N37" s="439" t="str">
        <f>IF(N27&lt;&gt;"",$Q$9-$N$27,"")</f>
        <v/>
      </c>
      <c r="P37" s="300"/>
      <c r="Q37" s="328" t="s">
        <v>40</v>
      </c>
      <c r="R37" s="439" t="str">
        <f>IF(N28&lt;&gt;"",($N$29-$N$28)/1.08,"")</f>
        <v/>
      </c>
      <c r="T37" s="297"/>
      <c r="AF37" s="291" t="e">
        <f t="shared" si="5"/>
        <v>#REF!</v>
      </c>
      <c r="AG37" s="429" t="e">
        <f t="shared" si="4"/>
        <v>#REF!</v>
      </c>
      <c r="AH37" s="430"/>
      <c r="AI37" s="430"/>
    </row>
    <row r="38" spans="1:35">
      <c r="A38" s="296"/>
      <c r="B38" s="325"/>
      <c r="C38" s="440"/>
      <c r="D38" s="295"/>
      <c r="E38" s="295"/>
      <c r="F38" s="296"/>
      <c r="G38" s="295"/>
      <c r="H38" s="295"/>
      <c r="I38" s="295"/>
      <c r="J38" s="294"/>
      <c r="K38" s="296"/>
      <c r="L38" s="325"/>
      <c r="M38" s="440"/>
      <c r="N38" s="295"/>
      <c r="O38" s="295"/>
      <c r="P38" s="296"/>
      <c r="Q38" s="295"/>
      <c r="R38" s="295"/>
      <c r="S38" s="295"/>
      <c r="T38" s="294"/>
      <c r="AF38" s="291" t="e">
        <f t="shared" si="5"/>
        <v>#REF!</v>
      </c>
      <c r="AG38" s="429" t="e">
        <f t="shared" si="4"/>
        <v>#REF!</v>
      </c>
      <c r="AH38" s="430"/>
      <c r="AI38" s="430"/>
    </row>
    <row r="39" spans="1:35">
      <c r="A39" s="436" t="s">
        <v>615</v>
      </c>
      <c r="B39" s="311"/>
      <c r="C39" s="311"/>
      <c r="D39" s="311"/>
      <c r="E39" s="311"/>
      <c r="F39" s="313"/>
      <c r="G39" s="311"/>
      <c r="H39" s="311"/>
      <c r="I39" s="311"/>
      <c r="J39" s="313"/>
      <c r="K39" s="436" t="s">
        <v>615</v>
      </c>
      <c r="L39" s="311"/>
      <c r="M39" s="311"/>
      <c r="N39" s="311"/>
      <c r="O39" s="311"/>
      <c r="P39" s="313"/>
      <c r="Q39" s="311"/>
      <c r="R39" s="311"/>
      <c r="S39" s="311"/>
      <c r="T39" s="313"/>
      <c r="AF39" s="291" t="e">
        <f t="shared" si="5"/>
        <v>#REF!</v>
      </c>
      <c r="AG39" s="429" t="e">
        <f t="shared" si="4"/>
        <v>#REF!</v>
      </c>
      <c r="AH39" s="430"/>
      <c r="AI39" s="430"/>
    </row>
    <row r="40" spans="1:35" ht="15.75">
      <c r="A40" s="300"/>
      <c r="B40" s="330" t="s">
        <v>644</v>
      </c>
      <c r="C40" s="328" t="s">
        <v>40</v>
      </c>
      <c r="D40" s="291" t="s">
        <v>616</v>
      </c>
      <c r="F40" s="297"/>
      <c r="G40" s="330" t="s">
        <v>617</v>
      </c>
      <c r="H40" s="328" t="s">
        <v>40</v>
      </c>
      <c r="I40" s="328">
        <v>2.093</v>
      </c>
      <c r="J40" s="297"/>
      <c r="K40" s="300"/>
      <c r="L40" s="330" t="s">
        <v>644</v>
      </c>
      <c r="M40" s="328" t="s">
        <v>40</v>
      </c>
      <c r="N40" s="291" t="s">
        <v>616</v>
      </c>
      <c r="P40" s="297"/>
      <c r="Q40" s="330" t="s">
        <v>617</v>
      </c>
      <c r="R40" s="328" t="s">
        <v>40</v>
      </c>
      <c r="S40" s="328">
        <v>2.093</v>
      </c>
      <c r="T40" s="297"/>
      <c r="AF40" s="291" t="e">
        <f t="shared" si="5"/>
        <v>#REF!</v>
      </c>
      <c r="AG40" s="429" t="e">
        <f t="shared" si="4"/>
        <v>#REF!</v>
      </c>
      <c r="AH40" s="430"/>
      <c r="AI40" s="430"/>
    </row>
    <row r="41" spans="1:35">
      <c r="A41" s="300"/>
      <c r="C41" s="328" t="s">
        <v>40</v>
      </c>
      <c r="D41" s="426" t="str">
        <f>IF(D27&lt;&gt;"",CONCATENATE("31.3 x ",TEXT(ABS($D$37),"0.0000")," / ",TEXT($H$37,"0.0000")),"")</f>
        <v/>
      </c>
      <c r="F41" s="297"/>
      <c r="J41" s="297"/>
      <c r="K41" s="300"/>
      <c r="M41" s="328" t="s">
        <v>40</v>
      </c>
      <c r="N41" s="426" t="str">
        <f>IF(N27&lt;&gt;"",CONCATENATE("31.3 x ",TEXT(ABS($N$37),"0.0000")," / ",TEXT($R$37,"0.0000")),"")</f>
        <v/>
      </c>
      <c r="P41" s="297"/>
      <c r="T41" s="297"/>
      <c r="V41" s="291" t="s">
        <v>531</v>
      </c>
      <c r="AF41" s="291" t="e">
        <f t="shared" si="5"/>
        <v>#REF!</v>
      </c>
      <c r="AG41" s="429" t="e">
        <f t="shared" si="4"/>
        <v>#REF!</v>
      </c>
      <c r="AH41" s="430"/>
      <c r="AI41" s="430"/>
    </row>
    <row r="42" spans="1:35">
      <c r="A42" s="300"/>
      <c r="C42" s="328" t="s">
        <v>40</v>
      </c>
      <c r="D42" s="441" t="str">
        <f>IF(D27&lt;&gt;"",31.3*ABS($D$37)/$H$37,"")</f>
        <v/>
      </c>
      <c r="F42" s="297"/>
      <c r="J42" s="297"/>
      <c r="K42" s="300"/>
      <c r="M42" s="328" t="s">
        <v>40</v>
      </c>
      <c r="N42" s="441" t="str">
        <f>IF(N27&lt;&gt;"",31.3*ABS($N$37)/$R$37,"")</f>
        <v/>
      </c>
      <c r="P42" s="297"/>
      <c r="T42" s="297"/>
      <c r="V42" s="662"/>
      <c r="W42" s="662"/>
      <c r="X42" s="662"/>
      <c r="Y42" s="662"/>
      <c r="Z42" s="662"/>
      <c r="AA42" s="662"/>
      <c r="AB42" s="662"/>
      <c r="AC42" s="662"/>
      <c r="AF42" s="291" t="e">
        <f t="shared" si="5"/>
        <v>#REF!</v>
      </c>
      <c r="AG42" s="429" t="e">
        <f t="shared" si="4"/>
        <v>#REF!</v>
      </c>
      <c r="AH42" s="430"/>
      <c r="AI42" s="430"/>
    </row>
    <row r="43" spans="1:35">
      <c r="A43" s="296"/>
      <c r="B43" s="295"/>
      <c r="C43" s="295"/>
      <c r="D43" s="295"/>
      <c r="E43" s="295"/>
      <c r="F43" s="294"/>
      <c r="G43" s="295"/>
      <c r="H43" s="295"/>
      <c r="I43" s="295"/>
      <c r="J43" s="294"/>
      <c r="K43" s="296"/>
      <c r="L43" s="295"/>
      <c r="M43" s="295"/>
      <c r="N43" s="295"/>
      <c r="O43" s="295"/>
      <c r="P43" s="294"/>
      <c r="Q43" s="295"/>
      <c r="R43" s="295"/>
      <c r="S43" s="295"/>
      <c r="T43" s="294"/>
      <c r="V43" s="662"/>
      <c r="W43" s="662"/>
      <c r="X43" s="662"/>
      <c r="Y43" s="662"/>
      <c r="Z43" s="662"/>
      <c r="AA43" s="662"/>
      <c r="AB43" s="662"/>
      <c r="AC43" s="662"/>
      <c r="AF43" s="291" t="e">
        <f t="shared" si="5"/>
        <v>#REF!</v>
      </c>
      <c r="AG43" s="429" t="e">
        <f t="shared" si="4"/>
        <v>#REF!</v>
      </c>
      <c r="AH43" s="430"/>
      <c r="AI43" s="430"/>
    </row>
    <row r="44" spans="1:35">
      <c r="A44" s="436" t="s">
        <v>618</v>
      </c>
      <c r="B44" s="311"/>
      <c r="C44" s="311"/>
      <c r="D44" s="311"/>
      <c r="E44" s="311"/>
      <c r="F44" s="311"/>
      <c r="G44" s="311"/>
      <c r="H44" s="311"/>
      <c r="I44" s="311"/>
      <c r="J44" s="313"/>
      <c r="K44" s="436" t="s">
        <v>618</v>
      </c>
      <c r="L44" s="311"/>
      <c r="M44" s="311"/>
      <c r="N44" s="311"/>
      <c r="O44" s="311"/>
      <c r="P44" s="311"/>
      <c r="Q44" s="311"/>
      <c r="R44" s="311"/>
      <c r="S44" s="311"/>
      <c r="T44" s="313"/>
      <c r="V44" s="662"/>
      <c r="W44" s="662"/>
      <c r="X44" s="662"/>
      <c r="Y44" s="662"/>
      <c r="Z44" s="662"/>
      <c r="AA44" s="662"/>
      <c r="AB44" s="662"/>
      <c r="AC44" s="662"/>
    </row>
    <row r="45" spans="1:35">
      <c r="A45" s="749" t="str">
        <f>IF(D27&lt;&gt;"",IF($D$42&gt;$I$40,"The bias is significantly different from zero, the gage FAILS","The bias is insignificant from zero, the gage PASSES."),"")</f>
        <v/>
      </c>
      <c r="B45" s="749"/>
      <c r="C45" s="749"/>
      <c r="D45" s="749"/>
      <c r="E45" s="749"/>
      <c r="F45" s="749"/>
      <c r="G45" s="749"/>
      <c r="H45" s="749"/>
      <c r="I45" s="749"/>
      <c r="J45" s="750"/>
      <c r="K45" s="442"/>
      <c r="T45" s="297"/>
      <c r="V45" s="662"/>
      <c r="W45" s="662"/>
      <c r="X45" s="662"/>
      <c r="Y45" s="662"/>
      <c r="Z45" s="662"/>
      <c r="AA45" s="662"/>
      <c r="AB45" s="662"/>
      <c r="AC45" s="662"/>
    </row>
    <row r="46" spans="1:35" ht="15">
      <c r="A46" s="749"/>
      <c r="B46" s="749"/>
      <c r="C46" s="749"/>
      <c r="D46" s="749"/>
      <c r="E46" s="749"/>
      <c r="F46" s="749"/>
      <c r="G46" s="749"/>
      <c r="H46" s="749"/>
      <c r="I46" s="749"/>
      <c r="J46" s="750"/>
      <c r="K46" s="300"/>
      <c r="L46" s="292" t="str">
        <f>IF(N27&lt;&gt;"",IF($N$42&gt;$S$40,"The bias is significantly different from zero, the gage FAILS","The bias is insignificant from zero, the gage PASSES."),"")</f>
        <v/>
      </c>
      <c r="T46" s="297"/>
    </row>
    <row r="47" spans="1:35">
      <c r="K47" s="296"/>
      <c r="L47" s="295"/>
      <c r="M47" s="295"/>
      <c r="N47" s="295"/>
      <c r="O47" s="295"/>
      <c r="P47" s="295"/>
      <c r="Q47" s="295"/>
      <c r="R47" s="295"/>
      <c r="S47" s="295"/>
      <c r="T47" s="294"/>
      <c r="V47" s="661"/>
      <c r="W47" s="661"/>
      <c r="X47" s="661"/>
      <c r="Y47" s="661"/>
      <c r="Z47" s="295"/>
      <c r="AA47" s="295"/>
      <c r="AB47" s="295"/>
      <c r="AC47" s="295"/>
    </row>
    <row r="48" spans="1:35">
      <c r="V48" s="299" t="s">
        <v>401</v>
      </c>
      <c r="Z48" s="299" t="s">
        <v>41</v>
      </c>
      <c r="AA48" s="299"/>
      <c r="AB48" s="299"/>
      <c r="AC48" s="299" t="s">
        <v>622</v>
      </c>
    </row>
  </sheetData>
  <mergeCells count="48">
    <mergeCell ref="U5:X5"/>
    <mergeCell ref="Y5:AA5"/>
    <mergeCell ref="AB5:AD5"/>
    <mergeCell ref="A7:D7"/>
    <mergeCell ref="E7:G7"/>
    <mergeCell ref="H7:J7"/>
    <mergeCell ref="K7:N7"/>
    <mergeCell ref="O7:Q7"/>
    <mergeCell ref="R7:T7"/>
    <mergeCell ref="U7:X7"/>
    <mergeCell ref="A5:D5"/>
    <mergeCell ref="E5:G5"/>
    <mergeCell ref="H5:J5"/>
    <mergeCell ref="K5:N5"/>
    <mergeCell ref="O5:Q5"/>
    <mergeCell ref="R5:T5"/>
    <mergeCell ref="AC9:AD9"/>
    <mergeCell ref="W12:Y12"/>
    <mergeCell ref="AA12:AC12"/>
    <mergeCell ref="A9:D9"/>
    <mergeCell ref="E9:F9"/>
    <mergeCell ref="G9:H9"/>
    <mergeCell ref="I9:J9"/>
    <mergeCell ref="K9:N9"/>
    <mergeCell ref="O9:P9"/>
    <mergeCell ref="Q9:R9"/>
    <mergeCell ref="S9:T9"/>
    <mergeCell ref="V42:AC42"/>
    <mergeCell ref="A2:J3"/>
    <mergeCell ref="K2:T3"/>
    <mergeCell ref="U2:AD3"/>
    <mergeCell ref="X13:Y13"/>
    <mergeCell ref="AB13:AC13"/>
    <mergeCell ref="X14:Y14"/>
    <mergeCell ref="AB14:AC14"/>
    <mergeCell ref="G10:J10"/>
    <mergeCell ref="Y7:AA7"/>
    <mergeCell ref="AB7:AD7"/>
    <mergeCell ref="X15:Y15"/>
    <mergeCell ref="AB15:AC15"/>
    <mergeCell ref="U9:X9"/>
    <mergeCell ref="Y9:Z9"/>
    <mergeCell ref="AA9:AB9"/>
    <mergeCell ref="A45:J46"/>
    <mergeCell ref="V47:Y47"/>
    <mergeCell ref="V45:AC45"/>
    <mergeCell ref="V44:AC44"/>
    <mergeCell ref="V43:AC43"/>
  </mergeCells>
  <pageMargins left="0.75" right="0.75" top="1.3541666666666667" bottom="0.75" header="0.5" footer="0.5"/>
  <pageSetup orientation="portrait" horizontalDpi="4294967292" verticalDpi="1200" r:id="rId1"/>
  <headerFooter>
    <oddHeader>&amp;L&amp;G&amp;C&amp;"Arial,Bold"&amp;14ATTRIBUTE GAGE 
BIAS REPORT</oddHeader>
    <oddFooter>&amp;C&amp;F</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N54"/>
  <sheetViews>
    <sheetView showGridLines="0" showRowColHeaders="0" view="pageLayout" zoomScaleNormal="100" workbookViewId="0">
      <selection activeCell="L14" sqref="L14"/>
    </sheetView>
  </sheetViews>
  <sheetFormatPr defaultColWidth="0" defaultRowHeight="12.75"/>
  <cols>
    <col min="1" max="13" width="8.85546875" style="291" customWidth="1"/>
    <col min="14" max="14" width="0.7109375" style="291" customWidth="1"/>
    <col min="15" max="16384" width="9.140625" style="291" hidden="1"/>
  </cols>
  <sheetData>
    <row r="1" spans="1:1" ht="15.75">
      <c r="A1" s="443" t="s">
        <v>604</v>
      </c>
    </row>
    <row r="3" spans="1:1">
      <c r="A3" s="291" t="s">
        <v>391</v>
      </c>
    </row>
    <row r="4" spans="1:1">
      <c r="A4" s="291" t="s">
        <v>392</v>
      </c>
    </row>
    <row r="5" spans="1:1">
      <c r="A5" s="291" t="s">
        <v>200</v>
      </c>
    </row>
    <row r="6" spans="1:1">
      <c r="A6" s="291" t="s">
        <v>201</v>
      </c>
    </row>
    <row r="7" spans="1:1">
      <c r="A7" s="291" t="s">
        <v>339</v>
      </c>
    </row>
    <row r="8" spans="1:1">
      <c r="A8" s="291" t="s">
        <v>393</v>
      </c>
    </row>
    <row r="9" spans="1:1">
      <c r="A9" s="291" t="s">
        <v>394</v>
      </c>
    </row>
    <row r="10" spans="1:1">
      <c r="A10" s="291" t="s">
        <v>257</v>
      </c>
    </row>
    <row r="11" spans="1:1">
      <c r="A11" s="291" t="s">
        <v>520</v>
      </c>
    </row>
    <row r="12" spans="1:1">
      <c r="A12" s="291" t="s">
        <v>395</v>
      </c>
    </row>
    <row r="13" spans="1:1">
      <c r="A13" s="291" t="s">
        <v>396</v>
      </c>
    </row>
    <row r="14" spans="1:1">
      <c r="A14" s="291" t="s">
        <v>202</v>
      </c>
    </row>
    <row r="17" spans="1:13">
      <c r="A17" s="314"/>
      <c r="B17" s="311"/>
      <c r="C17" s="311"/>
      <c r="D17" s="311"/>
      <c r="E17" s="311"/>
      <c r="F17" s="311"/>
      <c r="G17" s="311"/>
      <c r="H17" s="311"/>
      <c r="I17" s="311"/>
      <c r="J17" s="311"/>
      <c r="K17" s="311"/>
      <c r="L17" s="311"/>
      <c r="M17" s="313"/>
    </row>
    <row r="18" spans="1:13">
      <c r="A18" s="300"/>
      <c r="M18" s="297"/>
    </row>
    <row r="19" spans="1:13">
      <c r="A19" s="300"/>
      <c r="M19" s="297"/>
    </row>
    <row r="20" spans="1:13">
      <c r="A20" s="300"/>
      <c r="M20" s="297"/>
    </row>
    <row r="21" spans="1:13">
      <c r="A21" s="300"/>
      <c r="M21" s="297"/>
    </row>
    <row r="22" spans="1:13">
      <c r="A22" s="300"/>
      <c r="M22" s="297"/>
    </row>
    <row r="23" spans="1:13">
      <c r="A23" s="300"/>
      <c r="M23" s="297"/>
    </row>
    <row r="24" spans="1:13">
      <c r="A24" s="300"/>
      <c r="M24" s="297"/>
    </row>
    <row r="25" spans="1:13">
      <c r="A25" s="300"/>
      <c r="M25" s="297"/>
    </row>
    <row r="26" spans="1:13">
      <c r="A26" s="300"/>
      <c r="M26" s="297"/>
    </row>
    <row r="27" spans="1:13">
      <c r="A27" s="300"/>
      <c r="M27" s="297"/>
    </row>
    <row r="28" spans="1:13">
      <c r="A28" s="300"/>
      <c r="M28" s="297"/>
    </row>
    <row r="29" spans="1:13">
      <c r="A29" s="300"/>
      <c r="M29" s="297"/>
    </row>
    <row r="30" spans="1:13">
      <c r="A30" s="300"/>
      <c r="M30" s="297"/>
    </row>
    <row r="31" spans="1:13">
      <c r="A31" s="300"/>
      <c r="M31" s="297"/>
    </row>
    <row r="32" spans="1:13">
      <c r="A32" s="300"/>
      <c r="M32" s="297"/>
    </row>
    <row r="33" spans="1:13">
      <c r="A33" s="300"/>
      <c r="M33" s="297"/>
    </row>
    <row r="34" spans="1:13">
      <c r="A34" s="300"/>
      <c r="M34" s="297"/>
    </row>
    <row r="35" spans="1:13">
      <c r="A35" s="300"/>
      <c r="M35" s="297"/>
    </row>
    <row r="36" spans="1:13">
      <c r="A36" s="300"/>
      <c r="M36" s="297"/>
    </row>
    <row r="37" spans="1:13">
      <c r="A37" s="300"/>
      <c r="M37" s="297"/>
    </row>
    <row r="38" spans="1:13">
      <c r="A38" s="300"/>
      <c r="M38" s="297"/>
    </row>
    <row r="39" spans="1:13">
      <c r="A39" s="300"/>
      <c r="M39" s="297"/>
    </row>
    <row r="40" spans="1:13">
      <c r="A40" s="300"/>
      <c r="M40" s="297"/>
    </row>
    <row r="41" spans="1:13">
      <c r="A41" s="300"/>
      <c r="M41" s="297"/>
    </row>
    <row r="42" spans="1:13">
      <c r="A42" s="300"/>
      <c r="M42" s="297"/>
    </row>
    <row r="43" spans="1:13">
      <c r="A43" s="300"/>
      <c r="M43" s="297"/>
    </row>
    <row r="44" spans="1:13">
      <c r="A44" s="300"/>
      <c r="M44" s="297"/>
    </row>
    <row r="45" spans="1:13">
      <c r="A45" s="300"/>
      <c r="M45" s="297"/>
    </row>
    <row r="46" spans="1:13">
      <c r="A46" s="300"/>
      <c r="M46" s="297"/>
    </row>
    <row r="47" spans="1:13">
      <c r="A47" s="300"/>
      <c r="M47" s="297"/>
    </row>
    <row r="48" spans="1:13">
      <c r="A48" s="300"/>
      <c r="M48" s="297"/>
    </row>
    <row r="49" spans="1:13">
      <c r="A49" s="300"/>
      <c r="M49" s="297"/>
    </row>
    <row r="50" spans="1:13">
      <c r="A50" s="300"/>
      <c r="M50" s="297"/>
    </row>
    <row r="51" spans="1:13">
      <c r="A51" s="300"/>
      <c r="M51" s="297"/>
    </row>
    <row r="52" spans="1:13">
      <c r="A52" s="300"/>
      <c r="M52" s="297"/>
    </row>
    <row r="53" spans="1:13">
      <c r="A53" s="300"/>
      <c r="M53" s="297"/>
    </row>
    <row r="54" spans="1:13">
      <c r="A54" s="296"/>
      <c r="B54" s="295"/>
      <c r="C54" s="295"/>
      <c r="D54" s="295"/>
      <c r="E54" s="295"/>
      <c r="F54" s="295"/>
      <c r="G54" s="295"/>
      <c r="H54" s="295"/>
      <c r="I54" s="295"/>
      <c r="J54" s="295"/>
      <c r="K54" s="295"/>
      <c r="L54" s="295"/>
      <c r="M54" s="294"/>
    </row>
  </sheetData>
  <pageMargins left="0.75" right="0.75" top="1.340625" bottom="1" header="0.5" footer="0.5"/>
  <pageSetup scale="79" orientation="portrait" horizontalDpi="4294967292" verticalDpi="1200" r:id="rId1"/>
  <headerFooter>
    <oddHeader>&amp;L&amp;G&amp;C&amp;"Arial,Bold"&amp;14ATTRIBUTE BIAS STUDY GRAPH</oddHeader>
    <oddFooter>&amp;C&amp;F</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dimension ref="A1:AP242"/>
  <sheetViews>
    <sheetView showGridLines="0" showRowColHeaders="0" view="pageLayout" zoomScaleNormal="100" workbookViewId="0">
      <selection activeCell="M2" sqref="M2"/>
    </sheetView>
  </sheetViews>
  <sheetFormatPr defaultColWidth="0" defaultRowHeight="12.75"/>
  <cols>
    <col min="1" max="1" width="7.42578125" style="328" customWidth="1"/>
    <col min="2" max="10" width="6.28515625" style="328" customWidth="1"/>
    <col min="11" max="12" width="10.85546875" style="328" customWidth="1"/>
    <col min="13" max="13" width="10.7109375" style="328" customWidth="1"/>
    <col min="14" max="14" width="9.140625" style="299" customWidth="1"/>
    <col min="15" max="17" width="6" style="301" customWidth="1"/>
    <col min="18" max="18" width="3" style="299" customWidth="1"/>
    <col min="19" max="21" width="6.28515625" style="299" customWidth="1"/>
    <col min="22" max="22" width="3" style="299" customWidth="1"/>
    <col min="23" max="25" width="6.28515625" style="299" customWidth="1"/>
    <col min="26" max="26" width="8.85546875" style="291" customWidth="1"/>
    <col min="27" max="29" width="6.5703125" style="291" customWidth="1"/>
    <col min="30" max="30" width="3.7109375" style="291" customWidth="1"/>
    <col min="31" max="33" width="6.5703125" style="291" customWidth="1"/>
    <col min="34" max="34" width="3.5703125" style="291" customWidth="1"/>
    <col min="35" max="37" width="6.5703125" style="291" customWidth="1"/>
    <col min="38" max="42" width="8.85546875" style="291" customWidth="1"/>
    <col min="43" max="16384" width="9.140625" style="291" hidden="1"/>
  </cols>
  <sheetData>
    <row r="1" spans="1:37" ht="18">
      <c r="A1" s="766"/>
      <c r="B1" s="766"/>
      <c r="C1" s="766"/>
      <c r="D1" s="766"/>
      <c r="E1" s="766"/>
      <c r="F1" s="766"/>
      <c r="G1" s="766"/>
      <c r="H1" s="766"/>
      <c r="I1" s="766"/>
      <c r="J1" s="766"/>
      <c r="K1" s="766"/>
      <c r="L1" s="766"/>
      <c r="M1" s="766"/>
      <c r="O1" s="299"/>
      <c r="P1" s="299"/>
      <c r="Q1" s="299"/>
    </row>
    <row r="2" spans="1:37" ht="18">
      <c r="A2" s="373"/>
      <c r="B2" s="373"/>
      <c r="C2" s="373"/>
      <c r="D2" s="767"/>
      <c r="E2" s="767"/>
      <c r="F2" s="767"/>
      <c r="G2" s="767"/>
      <c r="H2" s="767"/>
      <c r="I2" s="767"/>
      <c r="J2" s="767"/>
      <c r="K2" s="767"/>
      <c r="L2" s="373"/>
      <c r="M2" s="373"/>
      <c r="O2" s="299"/>
      <c r="P2" s="299"/>
      <c r="Q2" s="299"/>
    </row>
    <row r="3" spans="1:37" ht="18">
      <c r="A3" s="767" t="s">
        <v>497</v>
      </c>
      <c r="B3" s="767"/>
      <c r="C3" s="767"/>
      <c r="D3" s="767"/>
      <c r="E3" s="767"/>
      <c r="F3" s="767"/>
      <c r="G3" s="767"/>
      <c r="H3" s="767"/>
      <c r="I3" s="767"/>
      <c r="J3" s="767"/>
      <c r="K3" s="767"/>
      <c r="L3" s="767"/>
      <c r="M3" s="767"/>
      <c r="O3" s="299"/>
      <c r="P3" s="299"/>
      <c r="Q3" s="299"/>
    </row>
    <row r="4" spans="1:37">
      <c r="A4" s="291"/>
      <c r="B4" s="291"/>
      <c r="C4" s="291"/>
      <c r="D4" s="291"/>
      <c r="E4" s="291"/>
      <c r="F4" s="291"/>
      <c r="G4" s="291"/>
      <c r="H4" s="291"/>
      <c r="I4" s="291"/>
      <c r="J4" s="291"/>
      <c r="K4" s="291"/>
      <c r="L4" s="291"/>
      <c r="M4" s="291"/>
      <c r="O4" s="299"/>
      <c r="P4" s="299"/>
      <c r="Q4" s="299"/>
    </row>
    <row r="5" spans="1:37" s="299" customFormat="1" ht="11.25">
      <c r="A5" s="338" t="s">
        <v>310</v>
      </c>
      <c r="B5" s="374"/>
      <c r="C5" s="374"/>
      <c r="D5" s="375"/>
      <c r="E5" s="338" t="s">
        <v>30</v>
      </c>
      <c r="F5" s="374"/>
      <c r="G5" s="375"/>
      <c r="H5" s="338" t="s">
        <v>35</v>
      </c>
      <c r="I5" s="574"/>
      <c r="J5" s="375"/>
      <c r="K5" s="338" t="s">
        <v>31</v>
      </c>
      <c r="L5" s="374"/>
      <c r="M5" s="375"/>
    </row>
    <row r="6" spans="1:37" s="415" customFormat="1">
      <c r="A6" s="768">
        <f>'Header Info'!C7</f>
        <v>0</v>
      </c>
      <c r="B6" s="769"/>
      <c r="C6" s="769"/>
      <c r="D6" s="770"/>
      <c r="E6" s="723"/>
      <c r="F6" s="724"/>
      <c r="G6" s="725"/>
      <c r="H6" s="723"/>
      <c r="I6" s="724"/>
      <c r="J6" s="725"/>
      <c r="K6" s="723"/>
      <c r="L6" s="724"/>
      <c r="M6" s="725"/>
      <c r="N6" s="444"/>
      <c r="O6" s="444"/>
      <c r="P6" s="444"/>
      <c r="Q6" s="444"/>
      <c r="R6" s="444"/>
      <c r="S6" s="444"/>
      <c r="T6" s="444"/>
      <c r="U6" s="444"/>
      <c r="V6" s="444"/>
      <c r="W6" s="444"/>
      <c r="X6" s="444"/>
      <c r="Y6" s="444"/>
    </row>
    <row r="7" spans="1:37" s="299" customFormat="1" ht="11.25">
      <c r="A7" s="338" t="s">
        <v>309</v>
      </c>
      <c r="B7" s="374"/>
      <c r="C7" s="374"/>
      <c r="D7" s="375"/>
      <c r="E7" s="338" t="s">
        <v>32</v>
      </c>
      <c r="F7" s="374"/>
      <c r="G7" s="375"/>
      <c r="H7" s="416" t="s">
        <v>34</v>
      </c>
      <c r="K7" s="338" t="s">
        <v>33</v>
      </c>
      <c r="L7" s="374"/>
      <c r="M7" s="375"/>
    </row>
    <row r="8" spans="1:37" s="415" customFormat="1">
      <c r="A8" s="768">
        <f>'Header Info'!C6</f>
        <v>0</v>
      </c>
      <c r="B8" s="769"/>
      <c r="C8" s="769"/>
      <c r="D8" s="770"/>
      <c r="E8" s="723"/>
      <c r="F8" s="724"/>
      <c r="G8" s="725"/>
      <c r="H8" s="771"/>
      <c r="I8" s="772"/>
      <c r="J8" s="773"/>
      <c r="K8" s="723"/>
      <c r="L8" s="724"/>
      <c r="M8" s="725"/>
      <c r="N8" s="444"/>
      <c r="O8" s="444"/>
      <c r="P8" s="444"/>
      <c r="Q8" s="444"/>
      <c r="R8" s="444"/>
      <c r="S8" s="444"/>
      <c r="T8" s="444"/>
      <c r="U8" s="444"/>
      <c r="V8" s="444"/>
      <c r="W8" s="444"/>
      <c r="X8" s="444"/>
      <c r="Y8" s="444"/>
    </row>
    <row r="9" spans="1:37" s="299" customFormat="1" ht="11.25">
      <c r="A9" s="416" t="s">
        <v>18</v>
      </c>
      <c r="B9" s="417"/>
      <c r="C9" s="417"/>
      <c r="D9" s="417"/>
      <c r="E9" s="416" t="s">
        <v>605</v>
      </c>
      <c r="F9" s="417"/>
      <c r="G9" s="375"/>
      <c r="H9" s="338" t="s">
        <v>606</v>
      </c>
      <c r="I9" s="374"/>
      <c r="J9" s="375"/>
      <c r="K9" s="374" t="s">
        <v>42</v>
      </c>
      <c r="L9" s="374"/>
      <c r="M9" s="375"/>
    </row>
    <row r="10" spans="1:37" s="415" customFormat="1">
      <c r="A10" s="723"/>
      <c r="B10" s="724"/>
      <c r="C10" s="724"/>
      <c r="D10" s="725"/>
      <c r="E10" s="771"/>
      <c r="F10" s="772"/>
      <c r="G10" s="773"/>
      <c r="H10" s="771"/>
      <c r="I10" s="772"/>
      <c r="J10" s="773"/>
      <c r="K10" s="723"/>
      <c r="L10" s="724"/>
      <c r="M10" s="725"/>
      <c r="N10" s="444"/>
      <c r="O10" s="444"/>
      <c r="P10" s="444"/>
      <c r="Q10" s="444"/>
      <c r="R10" s="444"/>
      <c r="S10" s="444"/>
      <c r="T10" s="444"/>
      <c r="U10" s="444"/>
      <c r="V10" s="444"/>
      <c r="W10" s="444"/>
      <c r="X10" s="444"/>
      <c r="Y10" s="444"/>
    </row>
    <row r="11" spans="1:37" s="415" customFormat="1">
      <c r="A11" s="445"/>
      <c r="B11" s="445"/>
      <c r="C11" s="445"/>
      <c r="D11" s="445"/>
      <c r="E11" s="446"/>
      <c r="F11" s="446"/>
      <c r="G11" s="446"/>
      <c r="H11" s="446"/>
      <c r="I11" s="446"/>
      <c r="J11" s="446"/>
      <c r="K11" s="445"/>
      <c r="N11" s="444"/>
      <c r="O11" s="444"/>
      <c r="P11" s="444"/>
      <c r="Q11" s="444"/>
      <c r="R11" s="444"/>
      <c r="S11" s="444"/>
      <c r="T11" s="444"/>
      <c r="U11" s="444"/>
      <c r="V11" s="444"/>
      <c r="W11" s="444"/>
      <c r="X11" s="444"/>
      <c r="Y11" s="444"/>
    </row>
    <row r="12" spans="1:37" ht="15.75">
      <c r="A12" s="774" t="s">
        <v>607</v>
      </c>
      <c r="B12" s="774"/>
      <c r="C12" s="774"/>
      <c r="D12" s="774"/>
      <c r="E12" s="774"/>
      <c r="F12" s="774"/>
      <c r="G12" s="774"/>
      <c r="H12" s="774"/>
      <c r="I12" s="774"/>
      <c r="J12" s="774"/>
      <c r="K12" s="774"/>
      <c r="L12" s="774"/>
      <c r="M12" s="774"/>
      <c r="O12" s="307" t="s">
        <v>223</v>
      </c>
      <c r="S12" s="307" t="s">
        <v>227</v>
      </c>
      <c r="T12" s="301"/>
      <c r="U12" s="301"/>
      <c r="W12" s="307" t="s">
        <v>228</v>
      </c>
      <c r="X12" s="301"/>
      <c r="Y12" s="301"/>
      <c r="AA12" s="307" t="s">
        <v>169</v>
      </c>
      <c r="AB12" s="301"/>
      <c r="AC12" s="301"/>
      <c r="AD12" s="299"/>
      <c r="AE12" s="307" t="s">
        <v>170</v>
      </c>
      <c r="AF12" s="301"/>
      <c r="AG12" s="301"/>
      <c r="AH12" s="299"/>
      <c r="AI12" s="307" t="s">
        <v>171</v>
      </c>
      <c r="AJ12" s="301"/>
      <c r="AK12" s="301"/>
    </row>
    <row r="13" spans="1:37" ht="25.5">
      <c r="A13" s="422" t="s">
        <v>27</v>
      </c>
      <c r="B13" s="422" t="s">
        <v>211</v>
      </c>
      <c r="C13" s="422" t="s">
        <v>212</v>
      </c>
      <c r="D13" s="422" t="s">
        <v>213</v>
      </c>
      <c r="E13" s="422" t="s">
        <v>214</v>
      </c>
      <c r="F13" s="422" t="s">
        <v>215</v>
      </c>
      <c r="G13" s="422" t="s">
        <v>216</v>
      </c>
      <c r="H13" s="422" t="s">
        <v>217</v>
      </c>
      <c r="I13" s="422" t="s">
        <v>218</v>
      </c>
      <c r="J13" s="422" t="s">
        <v>219</v>
      </c>
      <c r="K13" s="422" t="s">
        <v>220</v>
      </c>
      <c r="L13" s="447" t="s">
        <v>222</v>
      </c>
      <c r="M13" s="422" t="s">
        <v>221</v>
      </c>
      <c r="O13" s="301">
        <v>1</v>
      </c>
      <c r="P13" s="301">
        <v>2</v>
      </c>
      <c r="Q13" s="301">
        <v>3</v>
      </c>
      <c r="S13" s="301">
        <v>1</v>
      </c>
      <c r="T13" s="301">
        <v>2</v>
      </c>
      <c r="U13" s="301">
        <v>3</v>
      </c>
      <c r="W13" s="301">
        <v>1</v>
      </c>
      <c r="X13" s="301">
        <v>2</v>
      </c>
      <c r="Y13" s="301">
        <v>3</v>
      </c>
      <c r="AA13" s="301">
        <v>1</v>
      </c>
      <c r="AB13" s="301">
        <v>2</v>
      </c>
      <c r="AC13" s="301">
        <v>3</v>
      </c>
      <c r="AD13" s="299"/>
      <c r="AE13" s="301">
        <v>1</v>
      </c>
      <c r="AF13" s="301">
        <v>2</v>
      </c>
      <c r="AG13" s="301">
        <v>3</v>
      </c>
      <c r="AH13" s="299"/>
      <c r="AI13" s="301">
        <v>1</v>
      </c>
      <c r="AJ13" s="301">
        <v>2</v>
      </c>
      <c r="AK13" s="301">
        <v>3</v>
      </c>
    </row>
    <row r="14" spans="1:37">
      <c r="A14" s="422">
        <v>1</v>
      </c>
      <c r="B14" s="340"/>
      <c r="C14" s="340"/>
      <c r="D14" s="340"/>
      <c r="E14" s="340"/>
      <c r="F14" s="340"/>
      <c r="G14" s="340"/>
      <c r="H14" s="340"/>
      <c r="I14" s="340"/>
      <c r="J14" s="340"/>
      <c r="K14" s="340"/>
      <c r="L14" s="340"/>
      <c r="M14" s="340" t="str">
        <f>IF(B14&lt;&gt;"",IF(SUM(B14:J14)=9,"+",IF(SUM(B14:J14)=0,"-","x")),"")</f>
        <v/>
      </c>
      <c r="N14" s="291"/>
      <c r="O14" s="328" t="str">
        <f>IF(B14&lt;&gt;"",IF(AND(B14=0,E14=0),"a",IF(AND(B14=1,E14=0),"b",IF(AND(B14=0,E14=1),"c","d"))),"")</f>
        <v/>
      </c>
      <c r="P14" s="328" t="str">
        <f>IF(C14&lt;&gt;"",IF(AND(C14=0,F14=0),"a",IF(AND(C14=1,F14=0),"b",IF(AND(C14=0,F14=1),"c","d"))),"")</f>
        <v/>
      </c>
      <c r="Q14" s="328" t="str">
        <f>IF(D14&lt;&gt;"",IF(AND(D14=0,G14=0),"a",IF(AND(D14=1,G14=0),"b",IF(AND(D14=0,G14=1),"c","d"))),"")</f>
        <v/>
      </c>
      <c r="R14" s="291"/>
      <c r="S14" s="328" t="str">
        <f>IF(E14&lt;&gt;"",IF(AND(E14=0,H14=0),"a",IF(AND(E14=1,H14=0),"b",IF(AND(E14=0,H14=1),"c","d"))),"")</f>
        <v/>
      </c>
      <c r="T14" s="328" t="str">
        <f>IF(F14&lt;&gt;"",IF(AND(F14=0,I14=0),"a",IF(AND(F14=1,I14=0),"b",IF(AND(F14=0,I14=1),"c","d"))),"")</f>
        <v/>
      </c>
      <c r="U14" s="328" t="str">
        <f>IF(G14&lt;&gt;"",IF(AND(G14=0,J14=0),"a",IF(AND(G14=1,J14=0),"b",IF(AND(G14=0,J14=1),"c","d"))),"")</f>
        <v/>
      </c>
      <c r="V14" s="291"/>
      <c r="W14" s="328" t="str">
        <f>IF(B14&lt;&gt;"",IF(AND(B14=0,H14=0),"a",IF(AND(B14=1,H14=0),"b",IF(AND(B14=0,H14=1),"c","d"))),"")</f>
        <v/>
      </c>
      <c r="X14" s="328" t="str">
        <f>IF(C14&lt;&gt;"",IF(AND(C14=0,I14=0),"a",IF(AND(C14=1,I14=0),"b",IF(AND(C14=0,I14=1),"c","d"))),"")</f>
        <v/>
      </c>
      <c r="Y14" s="328" t="str">
        <f>IF(D14&lt;&gt;"",IF(AND(D14=0,J14=0),"a",IF(AND(D14=1,J14=0),"b",IF(AND(D14=0,J14=1),"c","d"))),"")</f>
        <v/>
      </c>
      <c r="AA14" s="328" t="str">
        <f>IF(B14&lt;&gt;"",IF(AND(B14=0,$K14=0),"a",IF(AND(B14=1,$K14=0),"b",IF(AND(B14=0,$K14=1),"c","d"))),"")</f>
        <v/>
      </c>
      <c r="AB14" s="328" t="str">
        <f>IF(C14&lt;&gt;"",IF(AND(C14=0,$K14=0),"a",IF(AND(C14=1,$K14=0),"b",IF(AND(C14=0,$K14=1),"c","d"))),"")</f>
        <v/>
      </c>
      <c r="AC14" s="328" t="str">
        <f>IF(D14&lt;&gt;"",IF(AND(D14=0,$K14=0),"a",IF(AND(D14=1,$K14=0),"b",IF(AND(D14=0,$K14=1),"c","d"))),"")</f>
        <v/>
      </c>
      <c r="AE14" s="328" t="str">
        <f>IF(F14&lt;&gt;"",IF(AND(E14=0,$K14=0),"a",IF(AND(E14=1,$K14=0),"b",IF(AND(E14=0,$K14=1),"c","d"))),"")</f>
        <v/>
      </c>
      <c r="AF14" s="328" t="str">
        <f>IF(G14&lt;&gt;"",IF(AND(F14=0,$K14=0),"a",IF(AND(F14=1,$K14=0),"b",IF(AND(F14=0,$K14=1),"c","d"))),"")</f>
        <v/>
      </c>
      <c r="AG14" s="328" t="str">
        <f>IF(H14&lt;&gt;"",IF(AND(G14=0,$K14=0),"a",IF(AND(G14=1,$K14=0),"b",IF(AND(G14=0,$K14=1),"c","d"))),"")</f>
        <v/>
      </c>
      <c r="AI14" s="328" t="str">
        <f>IF(J14&lt;&gt;"",IF(AND(H14=0,$K14=0),"a",IF(AND(H14=1,$K14=0),"b",IF(AND(H14=0,$K14=1),"c","d"))),"")</f>
        <v/>
      </c>
      <c r="AJ14" s="328" t="str">
        <f>IF(K14&lt;&gt;"",IF(AND(I14=0,$K14=0),"a",IF(AND(I14=1,$K14=0),"b",IF(AND(I14=0,$K14=1),"c","d"))),"")</f>
        <v/>
      </c>
      <c r="AK14" s="328" t="str">
        <f>IF(L14&lt;&gt;"",IF(AND(J14=0,$K14=0),"a",IF(AND(J14=1,$K14=0),"b",IF(AND(J14=0,$K14=1),"c","d"))),"")</f>
        <v/>
      </c>
    </row>
    <row r="15" spans="1:37">
      <c r="A15" s="422">
        <f>A14+1</f>
        <v>2</v>
      </c>
      <c r="B15" s="340"/>
      <c r="C15" s="340"/>
      <c r="D15" s="340"/>
      <c r="E15" s="340"/>
      <c r="F15" s="340"/>
      <c r="G15" s="340"/>
      <c r="H15" s="340"/>
      <c r="I15" s="340"/>
      <c r="J15" s="340"/>
      <c r="K15" s="340"/>
      <c r="L15" s="340"/>
      <c r="M15" s="340" t="str">
        <f t="shared" ref="M15:M50" si="0">IF(B15&lt;&gt;"",IF(SUM(B15:J15)=9,"+",IF(SUM(B15:J15)=0,"-","x")),"")</f>
        <v/>
      </c>
      <c r="N15" s="291"/>
      <c r="O15" s="328" t="str">
        <f t="shared" ref="O15:Q50" si="1">IF(B15&lt;&gt;"",IF(AND(B15=0,E15=0),"a",IF(AND(B15=1,E15=0),"b",IF(AND(B15=0,E15=1),"c","d"))),"")</f>
        <v/>
      </c>
      <c r="P15" s="328" t="str">
        <f t="shared" si="1"/>
        <v/>
      </c>
      <c r="Q15" s="328" t="str">
        <f t="shared" si="1"/>
        <v/>
      </c>
      <c r="R15" s="291"/>
      <c r="S15" s="328" t="str">
        <f t="shared" ref="S15:U50" si="2">IF(E15&lt;&gt;"",IF(AND(E15=0,H15=0),"a",IF(AND(E15=1,H15=0),"b",IF(AND(E15=0,H15=1),"c","d"))),"")</f>
        <v/>
      </c>
      <c r="T15" s="328" t="str">
        <f t="shared" si="2"/>
        <v/>
      </c>
      <c r="U15" s="328" t="str">
        <f t="shared" si="2"/>
        <v/>
      </c>
      <c r="V15" s="291"/>
      <c r="W15" s="328" t="str">
        <f t="shared" ref="W15:Y50" si="3">IF(B15&lt;&gt;"",IF(AND(B15=0,H15=0),"a",IF(AND(B15=1,H15=0),"b",IF(AND(B15=0,H15=1),"c","d"))),"")</f>
        <v/>
      </c>
      <c r="X15" s="328" t="str">
        <f t="shared" si="3"/>
        <v/>
      </c>
      <c r="Y15" s="328" t="str">
        <f t="shared" si="3"/>
        <v/>
      </c>
      <c r="AA15" s="328" t="str">
        <f t="shared" ref="AA15:AC50" si="4">IF(B15&lt;&gt;"",IF(AND(B15=0,$K15=0),"a",IF(AND(B15=1,$K15=0),"b",IF(AND(B15=0,$K15=1),"c","d"))),"")</f>
        <v/>
      </c>
      <c r="AB15" s="328" t="str">
        <f t="shared" si="4"/>
        <v/>
      </c>
      <c r="AC15" s="328" t="str">
        <f t="shared" si="4"/>
        <v/>
      </c>
      <c r="AE15" s="328" t="str">
        <f t="shared" ref="AE15:AG50" si="5">IF(F15&lt;&gt;"",IF(AND(E15=0,$K15=0),"a",IF(AND(E15=1,$K15=0),"b",IF(AND(E15=0,$K15=1),"c","d"))),"")</f>
        <v/>
      </c>
      <c r="AF15" s="328" t="str">
        <f t="shared" si="5"/>
        <v/>
      </c>
      <c r="AG15" s="328" t="str">
        <f t="shared" si="5"/>
        <v/>
      </c>
      <c r="AI15" s="328" t="str">
        <f t="shared" ref="AI15:AK50" si="6">IF(J15&lt;&gt;"",IF(AND(H15=0,$K15=0),"a",IF(AND(H15=1,$K15=0),"b",IF(AND(H15=0,$K15=1),"c","d"))),"")</f>
        <v/>
      </c>
      <c r="AJ15" s="328" t="str">
        <f t="shared" si="6"/>
        <v/>
      </c>
      <c r="AK15" s="328" t="str">
        <f t="shared" si="6"/>
        <v/>
      </c>
    </row>
    <row r="16" spans="1:37">
      <c r="A16" s="422">
        <f t="shared" ref="A16:A62" si="7">A15+1</f>
        <v>3</v>
      </c>
      <c r="B16" s="340"/>
      <c r="C16" s="340"/>
      <c r="D16" s="340"/>
      <c r="E16" s="340"/>
      <c r="F16" s="340"/>
      <c r="G16" s="340"/>
      <c r="H16" s="340"/>
      <c r="I16" s="340"/>
      <c r="J16" s="340"/>
      <c r="K16" s="340"/>
      <c r="L16" s="340"/>
      <c r="M16" s="340" t="str">
        <f t="shared" si="0"/>
        <v/>
      </c>
      <c r="N16" s="291"/>
      <c r="O16" s="328" t="str">
        <f t="shared" si="1"/>
        <v/>
      </c>
      <c r="P16" s="328" t="str">
        <f t="shared" si="1"/>
        <v/>
      </c>
      <c r="Q16" s="328" t="str">
        <f t="shared" si="1"/>
        <v/>
      </c>
      <c r="R16" s="291"/>
      <c r="S16" s="328" t="str">
        <f t="shared" si="2"/>
        <v/>
      </c>
      <c r="T16" s="328" t="str">
        <f t="shared" si="2"/>
        <v/>
      </c>
      <c r="U16" s="328" t="str">
        <f t="shared" si="2"/>
        <v/>
      </c>
      <c r="V16" s="291"/>
      <c r="W16" s="328" t="str">
        <f t="shared" si="3"/>
        <v/>
      </c>
      <c r="X16" s="328" t="str">
        <f t="shared" si="3"/>
        <v/>
      </c>
      <c r="Y16" s="328" t="str">
        <f t="shared" si="3"/>
        <v/>
      </c>
      <c r="AA16" s="328" t="str">
        <f t="shared" si="4"/>
        <v/>
      </c>
      <c r="AB16" s="328" t="str">
        <f t="shared" si="4"/>
        <v/>
      </c>
      <c r="AC16" s="328" t="str">
        <f t="shared" si="4"/>
        <v/>
      </c>
      <c r="AE16" s="328" t="str">
        <f t="shared" si="5"/>
        <v/>
      </c>
      <c r="AF16" s="328" t="str">
        <f t="shared" si="5"/>
        <v/>
      </c>
      <c r="AG16" s="328" t="str">
        <f t="shared" si="5"/>
        <v/>
      </c>
      <c r="AI16" s="328" t="str">
        <f t="shared" si="6"/>
        <v/>
      </c>
      <c r="AJ16" s="328" t="str">
        <f t="shared" si="6"/>
        <v/>
      </c>
      <c r="AK16" s="328" t="str">
        <f t="shared" si="6"/>
        <v/>
      </c>
    </row>
    <row r="17" spans="1:37">
      <c r="A17" s="422">
        <f t="shared" si="7"/>
        <v>4</v>
      </c>
      <c r="B17" s="340"/>
      <c r="C17" s="340"/>
      <c r="D17" s="340"/>
      <c r="E17" s="340"/>
      <c r="F17" s="340"/>
      <c r="G17" s="340"/>
      <c r="H17" s="340"/>
      <c r="I17" s="340"/>
      <c r="J17" s="340"/>
      <c r="K17" s="340"/>
      <c r="L17" s="340"/>
      <c r="M17" s="340" t="str">
        <f t="shared" si="0"/>
        <v/>
      </c>
      <c r="N17" s="291"/>
      <c r="O17" s="328" t="str">
        <f t="shared" si="1"/>
        <v/>
      </c>
      <c r="P17" s="328" t="str">
        <f t="shared" si="1"/>
        <v/>
      </c>
      <c r="Q17" s="328" t="str">
        <f t="shared" si="1"/>
        <v/>
      </c>
      <c r="R17" s="291"/>
      <c r="S17" s="328" t="str">
        <f t="shared" si="2"/>
        <v/>
      </c>
      <c r="T17" s="328" t="str">
        <f t="shared" si="2"/>
        <v/>
      </c>
      <c r="U17" s="328" t="str">
        <f t="shared" si="2"/>
        <v/>
      </c>
      <c r="V17" s="291"/>
      <c r="W17" s="328" t="str">
        <f t="shared" si="3"/>
        <v/>
      </c>
      <c r="X17" s="328" t="str">
        <f t="shared" si="3"/>
        <v/>
      </c>
      <c r="Y17" s="328" t="str">
        <f t="shared" si="3"/>
        <v/>
      </c>
      <c r="AA17" s="328" t="str">
        <f t="shared" si="4"/>
        <v/>
      </c>
      <c r="AB17" s="328" t="str">
        <f t="shared" si="4"/>
        <v/>
      </c>
      <c r="AC17" s="328" t="str">
        <f t="shared" si="4"/>
        <v/>
      </c>
      <c r="AE17" s="328" t="str">
        <f t="shared" si="5"/>
        <v/>
      </c>
      <c r="AF17" s="328" t="str">
        <f t="shared" si="5"/>
        <v/>
      </c>
      <c r="AG17" s="328" t="str">
        <f t="shared" si="5"/>
        <v/>
      </c>
      <c r="AI17" s="328" t="str">
        <f t="shared" si="6"/>
        <v/>
      </c>
      <c r="AJ17" s="328" t="str">
        <f t="shared" si="6"/>
        <v/>
      </c>
      <c r="AK17" s="328" t="str">
        <f t="shared" si="6"/>
        <v/>
      </c>
    </row>
    <row r="18" spans="1:37">
      <c r="A18" s="422">
        <f t="shared" si="7"/>
        <v>5</v>
      </c>
      <c r="B18" s="340"/>
      <c r="C18" s="340"/>
      <c r="D18" s="340"/>
      <c r="E18" s="340"/>
      <c r="F18" s="340"/>
      <c r="G18" s="340"/>
      <c r="H18" s="340"/>
      <c r="I18" s="340"/>
      <c r="J18" s="340"/>
      <c r="K18" s="340"/>
      <c r="L18" s="340"/>
      <c r="M18" s="340" t="str">
        <f t="shared" si="0"/>
        <v/>
      </c>
      <c r="N18" s="291"/>
      <c r="O18" s="328" t="str">
        <f t="shared" si="1"/>
        <v/>
      </c>
      <c r="P18" s="328" t="str">
        <f t="shared" si="1"/>
        <v/>
      </c>
      <c r="Q18" s="328" t="str">
        <f t="shared" si="1"/>
        <v/>
      </c>
      <c r="R18" s="291"/>
      <c r="S18" s="328" t="str">
        <f t="shared" si="2"/>
        <v/>
      </c>
      <c r="T18" s="328" t="str">
        <f t="shared" si="2"/>
        <v/>
      </c>
      <c r="U18" s="328" t="str">
        <f t="shared" si="2"/>
        <v/>
      </c>
      <c r="V18" s="291"/>
      <c r="W18" s="328" t="str">
        <f t="shared" si="3"/>
        <v/>
      </c>
      <c r="X18" s="328" t="str">
        <f t="shared" si="3"/>
        <v/>
      </c>
      <c r="Y18" s="328" t="str">
        <f t="shared" si="3"/>
        <v/>
      </c>
      <c r="AA18" s="328" t="str">
        <f t="shared" si="4"/>
        <v/>
      </c>
      <c r="AB18" s="328" t="str">
        <f t="shared" si="4"/>
        <v/>
      </c>
      <c r="AC18" s="328" t="str">
        <f t="shared" si="4"/>
        <v/>
      </c>
      <c r="AE18" s="328" t="str">
        <f t="shared" si="5"/>
        <v/>
      </c>
      <c r="AF18" s="328" t="str">
        <f t="shared" si="5"/>
        <v/>
      </c>
      <c r="AG18" s="328" t="str">
        <f t="shared" si="5"/>
        <v/>
      </c>
      <c r="AI18" s="328" t="str">
        <f t="shared" si="6"/>
        <v/>
      </c>
      <c r="AJ18" s="328" t="str">
        <f t="shared" si="6"/>
        <v/>
      </c>
      <c r="AK18" s="328" t="str">
        <f t="shared" si="6"/>
        <v/>
      </c>
    </row>
    <row r="19" spans="1:37">
      <c r="A19" s="422">
        <f t="shared" si="7"/>
        <v>6</v>
      </c>
      <c r="B19" s="340"/>
      <c r="C19" s="340"/>
      <c r="D19" s="340"/>
      <c r="E19" s="340"/>
      <c r="F19" s="340"/>
      <c r="G19" s="340"/>
      <c r="H19" s="340"/>
      <c r="I19" s="340"/>
      <c r="J19" s="340"/>
      <c r="K19" s="340"/>
      <c r="L19" s="340"/>
      <c r="M19" s="340" t="str">
        <f t="shared" si="0"/>
        <v/>
      </c>
      <c r="N19" s="291"/>
      <c r="O19" s="328" t="str">
        <f t="shared" si="1"/>
        <v/>
      </c>
      <c r="P19" s="328" t="str">
        <f t="shared" si="1"/>
        <v/>
      </c>
      <c r="Q19" s="328" t="str">
        <f t="shared" si="1"/>
        <v/>
      </c>
      <c r="R19" s="291"/>
      <c r="S19" s="328" t="str">
        <f t="shared" si="2"/>
        <v/>
      </c>
      <c r="T19" s="328" t="str">
        <f t="shared" si="2"/>
        <v/>
      </c>
      <c r="U19" s="328" t="str">
        <f t="shared" si="2"/>
        <v/>
      </c>
      <c r="V19" s="291"/>
      <c r="W19" s="328" t="str">
        <f t="shared" si="3"/>
        <v/>
      </c>
      <c r="X19" s="328" t="str">
        <f t="shared" si="3"/>
        <v/>
      </c>
      <c r="Y19" s="328" t="str">
        <f t="shared" si="3"/>
        <v/>
      </c>
      <c r="AA19" s="328" t="str">
        <f t="shared" si="4"/>
        <v/>
      </c>
      <c r="AB19" s="328" t="str">
        <f t="shared" si="4"/>
        <v/>
      </c>
      <c r="AC19" s="328" t="str">
        <f t="shared" si="4"/>
        <v/>
      </c>
      <c r="AE19" s="328" t="str">
        <f t="shared" si="5"/>
        <v/>
      </c>
      <c r="AF19" s="328" t="str">
        <f t="shared" si="5"/>
        <v/>
      </c>
      <c r="AG19" s="328" t="str">
        <f t="shared" si="5"/>
        <v/>
      </c>
      <c r="AI19" s="328" t="str">
        <f t="shared" si="6"/>
        <v/>
      </c>
      <c r="AJ19" s="328" t="str">
        <f t="shared" si="6"/>
        <v/>
      </c>
      <c r="AK19" s="328" t="str">
        <f t="shared" si="6"/>
        <v/>
      </c>
    </row>
    <row r="20" spans="1:37">
      <c r="A20" s="422">
        <f t="shared" si="7"/>
        <v>7</v>
      </c>
      <c r="B20" s="340"/>
      <c r="C20" s="340"/>
      <c r="D20" s="340"/>
      <c r="E20" s="340"/>
      <c r="F20" s="340"/>
      <c r="G20" s="340"/>
      <c r="H20" s="340"/>
      <c r="I20" s="340"/>
      <c r="J20" s="340"/>
      <c r="K20" s="340"/>
      <c r="L20" s="340"/>
      <c r="M20" s="340" t="str">
        <f t="shared" si="0"/>
        <v/>
      </c>
      <c r="N20" s="291"/>
      <c r="O20" s="328" t="str">
        <f t="shared" si="1"/>
        <v/>
      </c>
      <c r="P20" s="328" t="str">
        <f t="shared" si="1"/>
        <v/>
      </c>
      <c r="Q20" s="328" t="str">
        <f t="shared" si="1"/>
        <v/>
      </c>
      <c r="R20" s="291"/>
      <c r="S20" s="328" t="str">
        <f t="shared" si="2"/>
        <v/>
      </c>
      <c r="T20" s="328" t="str">
        <f t="shared" si="2"/>
        <v/>
      </c>
      <c r="U20" s="328" t="str">
        <f t="shared" si="2"/>
        <v/>
      </c>
      <c r="V20" s="291"/>
      <c r="W20" s="328" t="str">
        <f t="shared" si="3"/>
        <v/>
      </c>
      <c r="X20" s="328" t="str">
        <f t="shared" si="3"/>
        <v/>
      </c>
      <c r="Y20" s="328" t="str">
        <f t="shared" si="3"/>
        <v/>
      </c>
      <c r="AA20" s="328" t="str">
        <f t="shared" si="4"/>
        <v/>
      </c>
      <c r="AB20" s="328" t="str">
        <f t="shared" si="4"/>
        <v/>
      </c>
      <c r="AC20" s="328" t="str">
        <f t="shared" si="4"/>
        <v/>
      </c>
      <c r="AE20" s="328" t="str">
        <f t="shared" si="5"/>
        <v/>
      </c>
      <c r="AF20" s="328" t="str">
        <f t="shared" si="5"/>
        <v/>
      </c>
      <c r="AG20" s="328" t="str">
        <f t="shared" si="5"/>
        <v/>
      </c>
      <c r="AI20" s="328" t="str">
        <f t="shared" si="6"/>
        <v/>
      </c>
      <c r="AJ20" s="328" t="str">
        <f t="shared" si="6"/>
        <v/>
      </c>
      <c r="AK20" s="328" t="str">
        <f t="shared" si="6"/>
        <v/>
      </c>
    </row>
    <row r="21" spans="1:37">
      <c r="A21" s="422">
        <f t="shared" si="7"/>
        <v>8</v>
      </c>
      <c r="B21" s="340"/>
      <c r="C21" s="340"/>
      <c r="D21" s="340"/>
      <c r="E21" s="340"/>
      <c r="F21" s="340"/>
      <c r="G21" s="340"/>
      <c r="H21" s="340"/>
      <c r="I21" s="340"/>
      <c r="J21" s="340"/>
      <c r="K21" s="340"/>
      <c r="L21" s="340"/>
      <c r="M21" s="340" t="str">
        <f t="shared" si="0"/>
        <v/>
      </c>
      <c r="N21" s="291"/>
      <c r="O21" s="328" t="str">
        <f t="shared" si="1"/>
        <v/>
      </c>
      <c r="P21" s="328" t="str">
        <f t="shared" si="1"/>
        <v/>
      </c>
      <c r="Q21" s="328" t="str">
        <f t="shared" si="1"/>
        <v/>
      </c>
      <c r="R21" s="291"/>
      <c r="S21" s="328" t="str">
        <f t="shared" si="2"/>
        <v/>
      </c>
      <c r="T21" s="328" t="str">
        <f t="shared" si="2"/>
        <v/>
      </c>
      <c r="U21" s="328" t="str">
        <f t="shared" si="2"/>
        <v/>
      </c>
      <c r="V21" s="291"/>
      <c r="W21" s="328" t="str">
        <f t="shared" si="3"/>
        <v/>
      </c>
      <c r="X21" s="328" t="str">
        <f t="shared" si="3"/>
        <v/>
      </c>
      <c r="Y21" s="328" t="str">
        <f t="shared" si="3"/>
        <v/>
      </c>
      <c r="AA21" s="328" t="str">
        <f t="shared" si="4"/>
        <v/>
      </c>
      <c r="AB21" s="328" t="str">
        <f t="shared" si="4"/>
        <v/>
      </c>
      <c r="AC21" s="328" t="str">
        <f t="shared" si="4"/>
        <v/>
      </c>
      <c r="AE21" s="328" t="str">
        <f t="shared" si="5"/>
        <v/>
      </c>
      <c r="AF21" s="328" t="str">
        <f t="shared" si="5"/>
        <v/>
      </c>
      <c r="AG21" s="328" t="str">
        <f t="shared" si="5"/>
        <v/>
      </c>
      <c r="AI21" s="328" t="str">
        <f t="shared" si="6"/>
        <v/>
      </c>
      <c r="AJ21" s="328" t="str">
        <f t="shared" si="6"/>
        <v/>
      </c>
      <c r="AK21" s="328" t="str">
        <f t="shared" si="6"/>
        <v/>
      </c>
    </row>
    <row r="22" spans="1:37">
      <c r="A22" s="422">
        <f t="shared" si="7"/>
        <v>9</v>
      </c>
      <c r="B22" s="340"/>
      <c r="C22" s="340"/>
      <c r="D22" s="340"/>
      <c r="E22" s="340"/>
      <c r="F22" s="340"/>
      <c r="G22" s="340"/>
      <c r="H22" s="340"/>
      <c r="I22" s="340"/>
      <c r="J22" s="340"/>
      <c r="K22" s="340"/>
      <c r="L22" s="340"/>
      <c r="M22" s="340" t="str">
        <f t="shared" si="0"/>
        <v/>
      </c>
      <c r="N22" s="291"/>
      <c r="O22" s="328" t="str">
        <f t="shared" si="1"/>
        <v/>
      </c>
      <c r="P22" s="328" t="str">
        <f t="shared" si="1"/>
        <v/>
      </c>
      <c r="Q22" s="328" t="str">
        <f t="shared" si="1"/>
        <v/>
      </c>
      <c r="R22" s="291"/>
      <c r="S22" s="328" t="str">
        <f t="shared" si="2"/>
        <v/>
      </c>
      <c r="T22" s="328" t="str">
        <f t="shared" si="2"/>
        <v/>
      </c>
      <c r="U22" s="328" t="str">
        <f t="shared" si="2"/>
        <v/>
      </c>
      <c r="V22" s="291"/>
      <c r="W22" s="328" t="str">
        <f t="shared" si="3"/>
        <v/>
      </c>
      <c r="X22" s="328" t="str">
        <f t="shared" si="3"/>
        <v/>
      </c>
      <c r="Y22" s="328" t="str">
        <f t="shared" si="3"/>
        <v/>
      </c>
      <c r="AA22" s="328" t="str">
        <f t="shared" si="4"/>
        <v/>
      </c>
      <c r="AB22" s="328" t="str">
        <f t="shared" si="4"/>
        <v/>
      </c>
      <c r="AC22" s="328" t="str">
        <f t="shared" si="4"/>
        <v/>
      </c>
      <c r="AE22" s="328" t="str">
        <f t="shared" si="5"/>
        <v/>
      </c>
      <c r="AF22" s="328" t="str">
        <f t="shared" si="5"/>
        <v/>
      </c>
      <c r="AG22" s="328" t="str">
        <f t="shared" si="5"/>
        <v/>
      </c>
      <c r="AI22" s="328" t="str">
        <f t="shared" si="6"/>
        <v/>
      </c>
      <c r="AJ22" s="328" t="str">
        <f t="shared" si="6"/>
        <v/>
      </c>
      <c r="AK22" s="328" t="str">
        <f t="shared" si="6"/>
        <v/>
      </c>
    </row>
    <row r="23" spans="1:37">
      <c r="A23" s="422">
        <f t="shared" si="7"/>
        <v>10</v>
      </c>
      <c r="B23" s="340"/>
      <c r="C23" s="340"/>
      <c r="D23" s="340"/>
      <c r="E23" s="340"/>
      <c r="F23" s="340"/>
      <c r="G23" s="340"/>
      <c r="H23" s="340"/>
      <c r="I23" s="340"/>
      <c r="J23" s="340"/>
      <c r="K23" s="340"/>
      <c r="L23" s="340"/>
      <c r="M23" s="340" t="str">
        <f t="shared" si="0"/>
        <v/>
      </c>
      <c r="N23" s="291"/>
      <c r="O23" s="328" t="str">
        <f t="shared" si="1"/>
        <v/>
      </c>
      <c r="P23" s="328" t="str">
        <f t="shared" si="1"/>
        <v/>
      </c>
      <c r="Q23" s="328" t="str">
        <f t="shared" si="1"/>
        <v/>
      </c>
      <c r="R23" s="291"/>
      <c r="S23" s="328" t="str">
        <f t="shared" si="2"/>
        <v/>
      </c>
      <c r="T23" s="328" t="str">
        <f t="shared" si="2"/>
        <v/>
      </c>
      <c r="U23" s="328" t="str">
        <f t="shared" si="2"/>
        <v/>
      </c>
      <c r="V23" s="291"/>
      <c r="W23" s="328" t="str">
        <f t="shared" si="3"/>
        <v/>
      </c>
      <c r="X23" s="328" t="str">
        <f t="shared" si="3"/>
        <v/>
      </c>
      <c r="Y23" s="328" t="str">
        <f t="shared" si="3"/>
        <v/>
      </c>
      <c r="AA23" s="328" t="str">
        <f t="shared" si="4"/>
        <v/>
      </c>
      <c r="AB23" s="328" t="str">
        <f t="shared" si="4"/>
        <v/>
      </c>
      <c r="AC23" s="328" t="str">
        <f t="shared" si="4"/>
        <v/>
      </c>
      <c r="AE23" s="328" t="str">
        <f t="shared" si="5"/>
        <v/>
      </c>
      <c r="AF23" s="328" t="str">
        <f t="shared" si="5"/>
        <v/>
      </c>
      <c r="AG23" s="328" t="str">
        <f t="shared" si="5"/>
        <v/>
      </c>
      <c r="AI23" s="328" t="str">
        <f t="shared" si="6"/>
        <v/>
      </c>
      <c r="AJ23" s="328" t="str">
        <f t="shared" si="6"/>
        <v/>
      </c>
      <c r="AK23" s="328" t="str">
        <f t="shared" si="6"/>
        <v/>
      </c>
    </row>
    <row r="24" spans="1:37">
      <c r="A24" s="422">
        <f t="shared" si="7"/>
        <v>11</v>
      </c>
      <c r="B24" s="340"/>
      <c r="C24" s="340"/>
      <c r="D24" s="340"/>
      <c r="E24" s="340"/>
      <c r="F24" s="340"/>
      <c r="G24" s="340"/>
      <c r="H24" s="340"/>
      <c r="I24" s="340"/>
      <c r="J24" s="340"/>
      <c r="K24" s="340"/>
      <c r="L24" s="340"/>
      <c r="M24" s="340" t="str">
        <f t="shared" si="0"/>
        <v/>
      </c>
      <c r="N24" s="291"/>
      <c r="O24" s="328" t="str">
        <f t="shared" si="1"/>
        <v/>
      </c>
      <c r="P24" s="328" t="str">
        <f t="shared" si="1"/>
        <v/>
      </c>
      <c r="Q24" s="328" t="str">
        <f t="shared" si="1"/>
        <v/>
      </c>
      <c r="R24" s="291"/>
      <c r="S24" s="328" t="str">
        <f t="shared" si="2"/>
        <v/>
      </c>
      <c r="T24" s="328" t="str">
        <f t="shared" si="2"/>
        <v/>
      </c>
      <c r="U24" s="328" t="str">
        <f t="shared" si="2"/>
        <v/>
      </c>
      <c r="V24" s="291"/>
      <c r="W24" s="328" t="str">
        <f t="shared" si="3"/>
        <v/>
      </c>
      <c r="X24" s="328" t="str">
        <f t="shared" si="3"/>
        <v/>
      </c>
      <c r="Y24" s="328" t="str">
        <f t="shared" si="3"/>
        <v/>
      </c>
      <c r="AA24" s="328" t="str">
        <f t="shared" si="4"/>
        <v/>
      </c>
      <c r="AB24" s="328" t="str">
        <f t="shared" si="4"/>
        <v/>
      </c>
      <c r="AC24" s="328" t="str">
        <f t="shared" si="4"/>
        <v/>
      </c>
      <c r="AE24" s="328" t="str">
        <f t="shared" si="5"/>
        <v/>
      </c>
      <c r="AF24" s="328" t="str">
        <f t="shared" si="5"/>
        <v/>
      </c>
      <c r="AG24" s="328" t="str">
        <f t="shared" si="5"/>
        <v/>
      </c>
      <c r="AI24" s="328" t="str">
        <f t="shared" si="6"/>
        <v/>
      </c>
      <c r="AJ24" s="328" t="str">
        <f t="shared" si="6"/>
        <v/>
      </c>
      <c r="AK24" s="328" t="str">
        <f t="shared" si="6"/>
        <v/>
      </c>
    </row>
    <row r="25" spans="1:37">
      <c r="A25" s="422">
        <f t="shared" si="7"/>
        <v>12</v>
      </c>
      <c r="B25" s="340"/>
      <c r="C25" s="340"/>
      <c r="D25" s="340"/>
      <c r="E25" s="340"/>
      <c r="F25" s="340"/>
      <c r="G25" s="340"/>
      <c r="H25" s="340"/>
      <c r="I25" s="340"/>
      <c r="J25" s="340"/>
      <c r="K25" s="340"/>
      <c r="L25" s="340"/>
      <c r="M25" s="340" t="str">
        <f t="shared" si="0"/>
        <v/>
      </c>
      <c r="N25" s="291"/>
      <c r="O25" s="328" t="str">
        <f t="shared" si="1"/>
        <v/>
      </c>
      <c r="P25" s="328" t="str">
        <f t="shared" si="1"/>
        <v/>
      </c>
      <c r="Q25" s="328" t="str">
        <f t="shared" si="1"/>
        <v/>
      </c>
      <c r="R25" s="291"/>
      <c r="S25" s="328" t="str">
        <f t="shared" si="2"/>
        <v/>
      </c>
      <c r="T25" s="328" t="str">
        <f t="shared" si="2"/>
        <v/>
      </c>
      <c r="U25" s="328" t="str">
        <f t="shared" si="2"/>
        <v/>
      </c>
      <c r="V25" s="291"/>
      <c r="W25" s="328" t="str">
        <f t="shared" si="3"/>
        <v/>
      </c>
      <c r="X25" s="328" t="str">
        <f t="shared" si="3"/>
        <v/>
      </c>
      <c r="Y25" s="328" t="str">
        <f t="shared" si="3"/>
        <v/>
      </c>
      <c r="AA25" s="328" t="str">
        <f t="shared" si="4"/>
        <v/>
      </c>
      <c r="AB25" s="328" t="str">
        <f t="shared" si="4"/>
        <v/>
      </c>
      <c r="AC25" s="328" t="str">
        <f t="shared" si="4"/>
        <v/>
      </c>
      <c r="AE25" s="328" t="str">
        <f t="shared" si="5"/>
        <v/>
      </c>
      <c r="AF25" s="328" t="str">
        <f t="shared" si="5"/>
        <v/>
      </c>
      <c r="AG25" s="328" t="str">
        <f t="shared" si="5"/>
        <v/>
      </c>
      <c r="AI25" s="328" t="str">
        <f t="shared" si="6"/>
        <v/>
      </c>
      <c r="AJ25" s="328" t="str">
        <f t="shared" si="6"/>
        <v/>
      </c>
      <c r="AK25" s="328" t="str">
        <f t="shared" si="6"/>
        <v/>
      </c>
    </row>
    <row r="26" spans="1:37">
      <c r="A26" s="422">
        <f t="shared" si="7"/>
        <v>13</v>
      </c>
      <c r="B26" s="340"/>
      <c r="C26" s="340"/>
      <c r="D26" s="340"/>
      <c r="E26" s="340"/>
      <c r="F26" s="340"/>
      <c r="G26" s="340"/>
      <c r="H26" s="340"/>
      <c r="I26" s="340"/>
      <c r="J26" s="340"/>
      <c r="K26" s="340"/>
      <c r="L26" s="340"/>
      <c r="M26" s="340" t="str">
        <f t="shared" si="0"/>
        <v/>
      </c>
      <c r="N26" s="291"/>
      <c r="O26" s="328" t="str">
        <f t="shared" si="1"/>
        <v/>
      </c>
      <c r="P26" s="328" t="str">
        <f t="shared" si="1"/>
        <v/>
      </c>
      <c r="Q26" s="328" t="str">
        <f t="shared" si="1"/>
        <v/>
      </c>
      <c r="R26" s="291"/>
      <c r="S26" s="328" t="str">
        <f t="shared" si="2"/>
        <v/>
      </c>
      <c r="T26" s="328" t="str">
        <f t="shared" si="2"/>
        <v/>
      </c>
      <c r="U26" s="328" t="str">
        <f t="shared" si="2"/>
        <v/>
      </c>
      <c r="V26" s="291"/>
      <c r="W26" s="328" t="str">
        <f t="shared" si="3"/>
        <v/>
      </c>
      <c r="X26" s="328" t="str">
        <f t="shared" si="3"/>
        <v/>
      </c>
      <c r="Y26" s="328" t="str">
        <f t="shared" si="3"/>
        <v/>
      </c>
      <c r="AA26" s="328" t="str">
        <f t="shared" si="4"/>
        <v/>
      </c>
      <c r="AB26" s="328" t="str">
        <f t="shared" si="4"/>
        <v/>
      </c>
      <c r="AC26" s="328" t="str">
        <f t="shared" si="4"/>
        <v/>
      </c>
      <c r="AE26" s="328" t="str">
        <f t="shared" si="5"/>
        <v/>
      </c>
      <c r="AF26" s="328" t="str">
        <f t="shared" si="5"/>
        <v/>
      </c>
      <c r="AG26" s="328" t="str">
        <f t="shared" si="5"/>
        <v/>
      </c>
      <c r="AI26" s="328" t="str">
        <f t="shared" si="6"/>
        <v/>
      </c>
      <c r="AJ26" s="328" t="str">
        <f t="shared" si="6"/>
        <v/>
      </c>
      <c r="AK26" s="328" t="str">
        <f t="shared" si="6"/>
        <v/>
      </c>
    </row>
    <row r="27" spans="1:37">
      <c r="A27" s="422">
        <f t="shared" si="7"/>
        <v>14</v>
      </c>
      <c r="B27" s="340"/>
      <c r="C27" s="340"/>
      <c r="D27" s="340"/>
      <c r="E27" s="340"/>
      <c r="F27" s="340"/>
      <c r="G27" s="340"/>
      <c r="H27" s="340"/>
      <c r="I27" s="340"/>
      <c r="J27" s="340"/>
      <c r="K27" s="340"/>
      <c r="L27" s="340"/>
      <c r="M27" s="340" t="str">
        <f t="shared" si="0"/>
        <v/>
      </c>
      <c r="N27" s="291"/>
      <c r="O27" s="328" t="str">
        <f t="shared" si="1"/>
        <v/>
      </c>
      <c r="P27" s="328" t="str">
        <f t="shared" si="1"/>
        <v/>
      </c>
      <c r="Q27" s="328" t="str">
        <f t="shared" si="1"/>
        <v/>
      </c>
      <c r="R27" s="291"/>
      <c r="S27" s="328" t="str">
        <f t="shared" si="2"/>
        <v/>
      </c>
      <c r="T27" s="328" t="str">
        <f t="shared" si="2"/>
        <v/>
      </c>
      <c r="U27" s="328" t="str">
        <f t="shared" si="2"/>
        <v/>
      </c>
      <c r="V27" s="291"/>
      <c r="W27" s="328" t="str">
        <f t="shared" si="3"/>
        <v/>
      </c>
      <c r="X27" s="328" t="str">
        <f t="shared" si="3"/>
        <v/>
      </c>
      <c r="Y27" s="328" t="str">
        <f t="shared" si="3"/>
        <v/>
      </c>
      <c r="AA27" s="328" t="str">
        <f t="shared" si="4"/>
        <v/>
      </c>
      <c r="AB27" s="328" t="str">
        <f t="shared" si="4"/>
        <v/>
      </c>
      <c r="AC27" s="328" t="str">
        <f t="shared" si="4"/>
        <v/>
      </c>
      <c r="AE27" s="328" t="str">
        <f t="shared" si="5"/>
        <v/>
      </c>
      <c r="AF27" s="328" t="str">
        <f t="shared" si="5"/>
        <v/>
      </c>
      <c r="AG27" s="328" t="str">
        <f t="shared" si="5"/>
        <v/>
      </c>
      <c r="AI27" s="328" t="str">
        <f t="shared" si="6"/>
        <v/>
      </c>
      <c r="AJ27" s="328" t="str">
        <f t="shared" si="6"/>
        <v/>
      </c>
      <c r="AK27" s="328" t="str">
        <f t="shared" si="6"/>
        <v/>
      </c>
    </row>
    <row r="28" spans="1:37">
      <c r="A28" s="422">
        <f t="shared" si="7"/>
        <v>15</v>
      </c>
      <c r="B28" s="340"/>
      <c r="C28" s="340"/>
      <c r="D28" s="340"/>
      <c r="E28" s="340"/>
      <c r="F28" s="340"/>
      <c r="G28" s="340"/>
      <c r="H28" s="340"/>
      <c r="I28" s="340"/>
      <c r="J28" s="340"/>
      <c r="K28" s="340"/>
      <c r="L28" s="340"/>
      <c r="M28" s="340" t="str">
        <f t="shared" si="0"/>
        <v/>
      </c>
      <c r="N28" s="291"/>
      <c r="O28" s="328" t="str">
        <f t="shared" si="1"/>
        <v/>
      </c>
      <c r="P28" s="328" t="str">
        <f t="shared" si="1"/>
        <v/>
      </c>
      <c r="Q28" s="328" t="str">
        <f t="shared" si="1"/>
        <v/>
      </c>
      <c r="R28" s="291"/>
      <c r="S28" s="328" t="str">
        <f t="shared" si="2"/>
        <v/>
      </c>
      <c r="T28" s="328" t="str">
        <f t="shared" si="2"/>
        <v/>
      </c>
      <c r="U28" s="328" t="str">
        <f t="shared" si="2"/>
        <v/>
      </c>
      <c r="V28" s="291"/>
      <c r="W28" s="328" t="str">
        <f t="shared" si="3"/>
        <v/>
      </c>
      <c r="X28" s="328" t="str">
        <f t="shared" si="3"/>
        <v/>
      </c>
      <c r="Y28" s="328" t="str">
        <f t="shared" si="3"/>
        <v/>
      </c>
      <c r="AA28" s="328" t="str">
        <f t="shared" si="4"/>
        <v/>
      </c>
      <c r="AB28" s="328" t="str">
        <f t="shared" si="4"/>
        <v/>
      </c>
      <c r="AC28" s="328" t="str">
        <f t="shared" si="4"/>
        <v/>
      </c>
      <c r="AE28" s="328" t="str">
        <f t="shared" si="5"/>
        <v/>
      </c>
      <c r="AF28" s="328" t="str">
        <f t="shared" si="5"/>
        <v/>
      </c>
      <c r="AG28" s="328" t="str">
        <f t="shared" si="5"/>
        <v/>
      </c>
      <c r="AI28" s="328" t="str">
        <f t="shared" si="6"/>
        <v/>
      </c>
      <c r="AJ28" s="328" t="str">
        <f t="shared" si="6"/>
        <v/>
      </c>
      <c r="AK28" s="328" t="str">
        <f t="shared" si="6"/>
        <v/>
      </c>
    </row>
    <row r="29" spans="1:37">
      <c r="A29" s="422">
        <f t="shared" si="7"/>
        <v>16</v>
      </c>
      <c r="B29" s="340"/>
      <c r="C29" s="340"/>
      <c r="D29" s="340"/>
      <c r="E29" s="340"/>
      <c r="F29" s="340"/>
      <c r="G29" s="340"/>
      <c r="H29" s="340"/>
      <c r="I29" s="340"/>
      <c r="J29" s="340"/>
      <c r="K29" s="340"/>
      <c r="L29" s="340"/>
      <c r="M29" s="340" t="str">
        <f t="shared" si="0"/>
        <v/>
      </c>
      <c r="N29" s="291"/>
      <c r="O29" s="328" t="str">
        <f t="shared" si="1"/>
        <v/>
      </c>
      <c r="P29" s="328" t="str">
        <f t="shared" si="1"/>
        <v/>
      </c>
      <c r="Q29" s="328" t="str">
        <f t="shared" si="1"/>
        <v/>
      </c>
      <c r="R29" s="291"/>
      <c r="S29" s="328" t="str">
        <f t="shared" si="2"/>
        <v/>
      </c>
      <c r="T29" s="328" t="str">
        <f t="shared" si="2"/>
        <v/>
      </c>
      <c r="U29" s="328" t="str">
        <f t="shared" si="2"/>
        <v/>
      </c>
      <c r="V29" s="291"/>
      <c r="W29" s="328" t="str">
        <f t="shared" si="3"/>
        <v/>
      </c>
      <c r="X29" s="328" t="str">
        <f t="shared" si="3"/>
        <v/>
      </c>
      <c r="Y29" s="328" t="str">
        <f t="shared" si="3"/>
        <v/>
      </c>
      <c r="AA29" s="328" t="str">
        <f t="shared" si="4"/>
        <v/>
      </c>
      <c r="AB29" s="328" t="str">
        <f t="shared" si="4"/>
        <v/>
      </c>
      <c r="AC29" s="328" t="str">
        <f t="shared" si="4"/>
        <v/>
      </c>
      <c r="AE29" s="328" t="str">
        <f t="shared" si="5"/>
        <v/>
      </c>
      <c r="AF29" s="328" t="str">
        <f t="shared" si="5"/>
        <v/>
      </c>
      <c r="AG29" s="328" t="str">
        <f t="shared" si="5"/>
        <v/>
      </c>
      <c r="AI29" s="328" t="str">
        <f t="shared" si="6"/>
        <v/>
      </c>
      <c r="AJ29" s="328" t="str">
        <f t="shared" si="6"/>
        <v/>
      </c>
      <c r="AK29" s="328" t="str">
        <f t="shared" si="6"/>
        <v/>
      </c>
    </row>
    <row r="30" spans="1:37">
      <c r="A30" s="422">
        <f t="shared" si="7"/>
        <v>17</v>
      </c>
      <c r="B30" s="340"/>
      <c r="C30" s="340"/>
      <c r="D30" s="340"/>
      <c r="E30" s="340"/>
      <c r="F30" s="340"/>
      <c r="G30" s="340"/>
      <c r="H30" s="340"/>
      <c r="I30" s="340"/>
      <c r="J30" s="340"/>
      <c r="K30" s="340"/>
      <c r="L30" s="340"/>
      <c r="M30" s="340" t="str">
        <f t="shared" si="0"/>
        <v/>
      </c>
      <c r="N30" s="291"/>
      <c r="O30" s="328" t="str">
        <f t="shared" si="1"/>
        <v/>
      </c>
      <c r="P30" s="328" t="str">
        <f t="shared" si="1"/>
        <v/>
      </c>
      <c r="Q30" s="328" t="str">
        <f t="shared" si="1"/>
        <v/>
      </c>
      <c r="R30" s="291"/>
      <c r="S30" s="328" t="str">
        <f t="shared" si="2"/>
        <v/>
      </c>
      <c r="T30" s="328" t="str">
        <f t="shared" si="2"/>
        <v/>
      </c>
      <c r="U30" s="328" t="str">
        <f t="shared" si="2"/>
        <v/>
      </c>
      <c r="V30" s="291"/>
      <c r="W30" s="328" t="str">
        <f t="shared" si="3"/>
        <v/>
      </c>
      <c r="X30" s="328" t="str">
        <f t="shared" si="3"/>
        <v/>
      </c>
      <c r="Y30" s="328" t="str">
        <f t="shared" si="3"/>
        <v/>
      </c>
      <c r="AA30" s="328" t="str">
        <f t="shared" si="4"/>
        <v/>
      </c>
      <c r="AB30" s="328" t="str">
        <f t="shared" si="4"/>
        <v/>
      </c>
      <c r="AC30" s="328" t="str">
        <f t="shared" si="4"/>
        <v/>
      </c>
      <c r="AE30" s="328" t="str">
        <f t="shared" si="5"/>
        <v/>
      </c>
      <c r="AF30" s="328" t="str">
        <f t="shared" si="5"/>
        <v/>
      </c>
      <c r="AG30" s="328" t="str">
        <f t="shared" si="5"/>
        <v/>
      </c>
      <c r="AI30" s="328" t="str">
        <f t="shared" si="6"/>
        <v/>
      </c>
      <c r="AJ30" s="328" t="str">
        <f t="shared" si="6"/>
        <v/>
      </c>
      <c r="AK30" s="328" t="str">
        <f t="shared" si="6"/>
        <v/>
      </c>
    </row>
    <row r="31" spans="1:37">
      <c r="A31" s="422">
        <f t="shared" si="7"/>
        <v>18</v>
      </c>
      <c r="B31" s="340"/>
      <c r="C31" s="340"/>
      <c r="D31" s="340"/>
      <c r="E31" s="340"/>
      <c r="F31" s="340"/>
      <c r="G31" s="340"/>
      <c r="H31" s="340"/>
      <c r="I31" s="340"/>
      <c r="J31" s="340"/>
      <c r="K31" s="340"/>
      <c r="L31" s="340"/>
      <c r="M31" s="340" t="str">
        <f t="shared" si="0"/>
        <v/>
      </c>
      <c r="N31" s="291"/>
      <c r="O31" s="328" t="str">
        <f t="shared" si="1"/>
        <v/>
      </c>
      <c r="P31" s="328" t="str">
        <f t="shared" si="1"/>
        <v/>
      </c>
      <c r="Q31" s="328" t="str">
        <f t="shared" si="1"/>
        <v/>
      </c>
      <c r="R31" s="291"/>
      <c r="S31" s="328" t="str">
        <f t="shared" si="2"/>
        <v/>
      </c>
      <c r="T31" s="328" t="str">
        <f t="shared" si="2"/>
        <v/>
      </c>
      <c r="U31" s="328" t="str">
        <f t="shared" si="2"/>
        <v/>
      </c>
      <c r="V31" s="291"/>
      <c r="W31" s="328" t="str">
        <f t="shared" si="3"/>
        <v/>
      </c>
      <c r="X31" s="328" t="str">
        <f t="shared" si="3"/>
        <v/>
      </c>
      <c r="Y31" s="328" t="str">
        <f t="shared" si="3"/>
        <v/>
      </c>
      <c r="AA31" s="328" t="str">
        <f t="shared" si="4"/>
        <v/>
      </c>
      <c r="AB31" s="328" t="str">
        <f t="shared" si="4"/>
        <v/>
      </c>
      <c r="AC31" s="328" t="str">
        <f t="shared" si="4"/>
        <v/>
      </c>
      <c r="AE31" s="328" t="str">
        <f t="shared" si="5"/>
        <v/>
      </c>
      <c r="AF31" s="328" t="str">
        <f t="shared" si="5"/>
        <v/>
      </c>
      <c r="AG31" s="328" t="str">
        <f t="shared" si="5"/>
        <v/>
      </c>
      <c r="AI31" s="328" t="str">
        <f t="shared" si="6"/>
        <v/>
      </c>
      <c r="AJ31" s="328" t="str">
        <f t="shared" si="6"/>
        <v/>
      </c>
      <c r="AK31" s="328" t="str">
        <f t="shared" si="6"/>
        <v/>
      </c>
    </row>
    <row r="32" spans="1:37">
      <c r="A32" s="422">
        <f t="shared" si="7"/>
        <v>19</v>
      </c>
      <c r="B32" s="340"/>
      <c r="C32" s="340"/>
      <c r="D32" s="340"/>
      <c r="E32" s="340"/>
      <c r="F32" s="340"/>
      <c r="G32" s="340"/>
      <c r="H32" s="340"/>
      <c r="I32" s="340"/>
      <c r="J32" s="340"/>
      <c r="K32" s="340"/>
      <c r="L32" s="340"/>
      <c r="M32" s="340" t="str">
        <f t="shared" si="0"/>
        <v/>
      </c>
      <c r="N32" s="291"/>
      <c r="O32" s="328" t="str">
        <f t="shared" si="1"/>
        <v/>
      </c>
      <c r="P32" s="328" t="str">
        <f t="shared" si="1"/>
        <v/>
      </c>
      <c r="Q32" s="328" t="str">
        <f t="shared" si="1"/>
        <v/>
      </c>
      <c r="R32" s="291"/>
      <c r="S32" s="328" t="str">
        <f t="shared" si="2"/>
        <v/>
      </c>
      <c r="T32" s="328" t="str">
        <f t="shared" si="2"/>
        <v/>
      </c>
      <c r="U32" s="328" t="str">
        <f t="shared" si="2"/>
        <v/>
      </c>
      <c r="V32" s="291"/>
      <c r="W32" s="328" t="str">
        <f t="shared" si="3"/>
        <v/>
      </c>
      <c r="X32" s="328" t="str">
        <f t="shared" si="3"/>
        <v/>
      </c>
      <c r="Y32" s="328" t="str">
        <f t="shared" si="3"/>
        <v/>
      </c>
      <c r="AA32" s="328" t="str">
        <f t="shared" si="4"/>
        <v/>
      </c>
      <c r="AB32" s="328" t="str">
        <f t="shared" si="4"/>
        <v/>
      </c>
      <c r="AC32" s="328" t="str">
        <f t="shared" si="4"/>
        <v/>
      </c>
      <c r="AE32" s="328" t="str">
        <f t="shared" si="5"/>
        <v/>
      </c>
      <c r="AF32" s="328" t="str">
        <f t="shared" si="5"/>
        <v/>
      </c>
      <c r="AG32" s="328" t="str">
        <f t="shared" si="5"/>
        <v/>
      </c>
      <c r="AI32" s="328" t="str">
        <f t="shared" si="6"/>
        <v/>
      </c>
      <c r="AJ32" s="328" t="str">
        <f t="shared" si="6"/>
        <v/>
      </c>
      <c r="AK32" s="328" t="str">
        <f t="shared" si="6"/>
        <v/>
      </c>
    </row>
    <row r="33" spans="1:37">
      <c r="A33" s="422">
        <f t="shared" si="7"/>
        <v>20</v>
      </c>
      <c r="B33" s="340"/>
      <c r="C33" s="340"/>
      <c r="D33" s="340"/>
      <c r="E33" s="340"/>
      <c r="F33" s="340"/>
      <c r="G33" s="340"/>
      <c r="H33" s="340"/>
      <c r="I33" s="340"/>
      <c r="J33" s="340"/>
      <c r="K33" s="340"/>
      <c r="L33" s="340"/>
      <c r="M33" s="340" t="str">
        <f t="shared" si="0"/>
        <v/>
      </c>
      <c r="N33" s="291"/>
      <c r="O33" s="328" t="str">
        <f t="shared" si="1"/>
        <v/>
      </c>
      <c r="P33" s="328" t="str">
        <f t="shared" si="1"/>
        <v/>
      </c>
      <c r="Q33" s="328" t="str">
        <f t="shared" si="1"/>
        <v/>
      </c>
      <c r="R33" s="291"/>
      <c r="S33" s="328" t="str">
        <f t="shared" si="2"/>
        <v/>
      </c>
      <c r="T33" s="328" t="str">
        <f t="shared" si="2"/>
        <v/>
      </c>
      <c r="U33" s="328" t="str">
        <f t="shared" si="2"/>
        <v/>
      </c>
      <c r="V33" s="291"/>
      <c r="W33" s="328" t="str">
        <f t="shared" si="3"/>
        <v/>
      </c>
      <c r="X33" s="328" t="str">
        <f t="shared" si="3"/>
        <v/>
      </c>
      <c r="Y33" s="328" t="str">
        <f t="shared" si="3"/>
        <v/>
      </c>
      <c r="AA33" s="328" t="str">
        <f t="shared" si="4"/>
        <v/>
      </c>
      <c r="AB33" s="328" t="str">
        <f t="shared" si="4"/>
        <v/>
      </c>
      <c r="AC33" s="328" t="str">
        <f t="shared" si="4"/>
        <v/>
      </c>
      <c r="AE33" s="328" t="str">
        <f t="shared" si="5"/>
        <v/>
      </c>
      <c r="AF33" s="328" t="str">
        <f t="shared" si="5"/>
        <v/>
      </c>
      <c r="AG33" s="328" t="str">
        <f t="shared" si="5"/>
        <v/>
      </c>
      <c r="AI33" s="328" t="str">
        <f t="shared" si="6"/>
        <v/>
      </c>
      <c r="AJ33" s="328" t="str">
        <f t="shared" si="6"/>
        <v/>
      </c>
      <c r="AK33" s="328" t="str">
        <f t="shared" si="6"/>
        <v/>
      </c>
    </row>
    <row r="34" spans="1:37">
      <c r="A34" s="422">
        <f t="shared" si="7"/>
        <v>21</v>
      </c>
      <c r="B34" s="340"/>
      <c r="C34" s="340"/>
      <c r="D34" s="340"/>
      <c r="E34" s="340"/>
      <c r="F34" s="340"/>
      <c r="G34" s="340"/>
      <c r="H34" s="340"/>
      <c r="I34" s="340"/>
      <c r="J34" s="340"/>
      <c r="K34" s="340"/>
      <c r="L34" s="340"/>
      <c r="M34" s="340" t="str">
        <f t="shared" si="0"/>
        <v/>
      </c>
      <c r="N34" s="291"/>
      <c r="O34" s="328" t="str">
        <f t="shared" si="1"/>
        <v/>
      </c>
      <c r="P34" s="328" t="str">
        <f t="shared" si="1"/>
        <v/>
      </c>
      <c r="Q34" s="328" t="str">
        <f t="shared" si="1"/>
        <v/>
      </c>
      <c r="R34" s="291"/>
      <c r="S34" s="328" t="str">
        <f t="shared" si="2"/>
        <v/>
      </c>
      <c r="T34" s="328" t="str">
        <f t="shared" si="2"/>
        <v/>
      </c>
      <c r="U34" s="328" t="str">
        <f t="shared" si="2"/>
        <v/>
      </c>
      <c r="V34" s="291"/>
      <c r="W34" s="328" t="str">
        <f t="shared" si="3"/>
        <v/>
      </c>
      <c r="X34" s="328" t="str">
        <f t="shared" si="3"/>
        <v/>
      </c>
      <c r="Y34" s="328" t="str">
        <f t="shared" si="3"/>
        <v/>
      </c>
      <c r="AA34" s="328" t="str">
        <f t="shared" si="4"/>
        <v/>
      </c>
      <c r="AB34" s="328" t="str">
        <f t="shared" si="4"/>
        <v/>
      </c>
      <c r="AC34" s="328" t="str">
        <f t="shared" si="4"/>
        <v/>
      </c>
      <c r="AE34" s="328" t="str">
        <f t="shared" si="5"/>
        <v/>
      </c>
      <c r="AF34" s="328" t="str">
        <f t="shared" si="5"/>
        <v/>
      </c>
      <c r="AG34" s="328" t="str">
        <f t="shared" si="5"/>
        <v/>
      </c>
      <c r="AI34" s="328" t="str">
        <f t="shared" si="6"/>
        <v/>
      </c>
      <c r="AJ34" s="328" t="str">
        <f t="shared" si="6"/>
        <v/>
      </c>
      <c r="AK34" s="328" t="str">
        <f t="shared" si="6"/>
        <v/>
      </c>
    </row>
    <row r="35" spans="1:37">
      <c r="A35" s="422">
        <f t="shared" si="7"/>
        <v>22</v>
      </c>
      <c r="B35" s="340"/>
      <c r="C35" s="340"/>
      <c r="D35" s="340"/>
      <c r="E35" s="340"/>
      <c r="F35" s="340"/>
      <c r="G35" s="340"/>
      <c r="H35" s="340"/>
      <c r="I35" s="340"/>
      <c r="J35" s="340"/>
      <c r="K35" s="340"/>
      <c r="L35" s="340"/>
      <c r="M35" s="340" t="str">
        <f t="shared" si="0"/>
        <v/>
      </c>
      <c r="N35" s="291"/>
      <c r="O35" s="328" t="str">
        <f t="shared" si="1"/>
        <v/>
      </c>
      <c r="P35" s="328" t="str">
        <f t="shared" si="1"/>
        <v/>
      </c>
      <c r="Q35" s="328" t="str">
        <f t="shared" si="1"/>
        <v/>
      </c>
      <c r="R35" s="291"/>
      <c r="S35" s="328" t="str">
        <f t="shared" si="2"/>
        <v/>
      </c>
      <c r="T35" s="328" t="str">
        <f t="shared" si="2"/>
        <v/>
      </c>
      <c r="U35" s="328" t="str">
        <f t="shared" si="2"/>
        <v/>
      </c>
      <c r="V35" s="291"/>
      <c r="W35" s="328" t="str">
        <f t="shared" si="3"/>
        <v/>
      </c>
      <c r="X35" s="328" t="str">
        <f t="shared" si="3"/>
        <v/>
      </c>
      <c r="Y35" s="328" t="str">
        <f t="shared" si="3"/>
        <v/>
      </c>
      <c r="AA35" s="328" t="str">
        <f t="shared" si="4"/>
        <v/>
      </c>
      <c r="AB35" s="328" t="str">
        <f t="shared" si="4"/>
        <v/>
      </c>
      <c r="AC35" s="328" t="str">
        <f t="shared" si="4"/>
        <v/>
      </c>
      <c r="AE35" s="328" t="str">
        <f t="shared" si="5"/>
        <v/>
      </c>
      <c r="AF35" s="328" t="str">
        <f t="shared" si="5"/>
        <v/>
      </c>
      <c r="AG35" s="328" t="str">
        <f t="shared" si="5"/>
        <v/>
      </c>
      <c r="AI35" s="328" t="str">
        <f t="shared" si="6"/>
        <v/>
      </c>
      <c r="AJ35" s="328" t="str">
        <f t="shared" si="6"/>
        <v/>
      </c>
      <c r="AK35" s="328" t="str">
        <f t="shared" si="6"/>
        <v/>
      </c>
    </row>
    <row r="36" spans="1:37">
      <c r="A36" s="422">
        <f t="shared" si="7"/>
        <v>23</v>
      </c>
      <c r="B36" s="340"/>
      <c r="C36" s="340"/>
      <c r="D36" s="340"/>
      <c r="E36" s="340"/>
      <c r="F36" s="340"/>
      <c r="G36" s="340"/>
      <c r="H36" s="340"/>
      <c r="I36" s="340"/>
      <c r="J36" s="340"/>
      <c r="K36" s="340"/>
      <c r="L36" s="340"/>
      <c r="M36" s="340" t="str">
        <f t="shared" si="0"/>
        <v/>
      </c>
      <c r="N36" s="291"/>
      <c r="O36" s="328" t="str">
        <f t="shared" si="1"/>
        <v/>
      </c>
      <c r="P36" s="328" t="str">
        <f t="shared" si="1"/>
        <v/>
      </c>
      <c r="Q36" s="328" t="str">
        <f t="shared" si="1"/>
        <v/>
      </c>
      <c r="R36" s="291"/>
      <c r="S36" s="328" t="str">
        <f t="shared" si="2"/>
        <v/>
      </c>
      <c r="T36" s="328" t="str">
        <f t="shared" si="2"/>
        <v/>
      </c>
      <c r="U36" s="328" t="str">
        <f t="shared" si="2"/>
        <v/>
      </c>
      <c r="V36" s="291"/>
      <c r="W36" s="328" t="str">
        <f t="shared" si="3"/>
        <v/>
      </c>
      <c r="X36" s="328" t="str">
        <f t="shared" si="3"/>
        <v/>
      </c>
      <c r="Y36" s="328" t="str">
        <f t="shared" si="3"/>
        <v/>
      </c>
      <c r="AA36" s="328" t="str">
        <f t="shared" si="4"/>
        <v/>
      </c>
      <c r="AB36" s="328" t="str">
        <f t="shared" si="4"/>
        <v/>
      </c>
      <c r="AC36" s="328" t="str">
        <f t="shared" si="4"/>
        <v/>
      </c>
      <c r="AE36" s="328" t="str">
        <f t="shared" si="5"/>
        <v/>
      </c>
      <c r="AF36" s="328" t="str">
        <f t="shared" si="5"/>
        <v/>
      </c>
      <c r="AG36" s="328" t="str">
        <f t="shared" si="5"/>
        <v/>
      </c>
      <c r="AI36" s="328" t="str">
        <f t="shared" si="6"/>
        <v/>
      </c>
      <c r="AJ36" s="328" t="str">
        <f t="shared" si="6"/>
        <v/>
      </c>
      <c r="AK36" s="328" t="str">
        <f t="shared" si="6"/>
        <v/>
      </c>
    </row>
    <row r="37" spans="1:37">
      <c r="A37" s="422">
        <f t="shared" si="7"/>
        <v>24</v>
      </c>
      <c r="B37" s="340"/>
      <c r="C37" s="340"/>
      <c r="D37" s="340"/>
      <c r="E37" s="340"/>
      <c r="F37" s="340"/>
      <c r="G37" s="340"/>
      <c r="H37" s="340"/>
      <c r="I37" s="340"/>
      <c r="J37" s="340"/>
      <c r="K37" s="340"/>
      <c r="L37" s="340"/>
      <c r="M37" s="340" t="str">
        <f t="shared" si="0"/>
        <v/>
      </c>
      <c r="N37" s="291"/>
      <c r="O37" s="328" t="str">
        <f t="shared" si="1"/>
        <v/>
      </c>
      <c r="P37" s="328" t="str">
        <f t="shared" si="1"/>
        <v/>
      </c>
      <c r="Q37" s="328" t="str">
        <f t="shared" si="1"/>
        <v/>
      </c>
      <c r="R37" s="291"/>
      <c r="S37" s="328" t="str">
        <f t="shared" si="2"/>
        <v/>
      </c>
      <c r="T37" s="328" t="str">
        <f t="shared" si="2"/>
        <v/>
      </c>
      <c r="U37" s="328" t="str">
        <f t="shared" si="2"/>
        <v/>
      </c>
      <c r="V37" s="291"/>
      <c r="W37" s="328" t="str">
        <f t="shared" si="3"/>
        <v/>
      </c>
      <c r="X37" s="328" t="str">
        <f t="shared" si="3"/>
        <v/>
      </c>
      <c r="Y37" s="328" t="str">
        <f t="shared" si="3"/>
        <v/>
      </c>
      <c r="AA37" s="328" t="str">
        <f t="shared" si="4"/>
        <v/>
      </c>
      <c r="AB37" s="328" t="str">
        <f t="shared" si="4"/>
        <v/>
      </c>
      <c r="AC37" s="328" t="str">
        <f t="shared" si="4"/>
        <v/>
      </c>
      <c r="AE37" s="328" t="str">
        <f t="shared" si="5"/>
        <v/>
      </c>
      <c r="AF37" s="328" t="str">
        <f t="shared" si="5"/>
        <v/>
      </c>
      <c r="AG37" s="328" t="str">
        <f t="shared" si="5"/>
        <v/>
      </c>
      <c r="AI37" s="328" t="str">
        <f t="shared" si="6"/>
        <v/>
      </c>
      <c r="AJ37" s="328" t="str">
        <f t="shared" si="6"/>
        <v/>
      </c>
      <c r="AK37" s="328" t="str">
        <f t="shared" si="6"/>
        <v/>
      </c>
    </row>
    <row r="38" spans="1:37">
      <c r="A38" s="422">
        <f t="shared" si="7"/>
        <v>25</v>
      </c>
      <c r="B38" s="340"/>
      <c r="C38" s="340"/>
      <c r="D38" s="340"/>
      <c r="E38" s="340"/>
      <c r="F38" s="340"/>
      <c r="G38" s="340"/>
      <c r="H38" s="340"/>
      <c r="I38" s="340"/>
      <c r="J38" s="340"/>
      <c r="K38" s="340"/>
      <c r="L38" s="340"/>
      <c r="M38" s="340" t="str">
        <f t="shared" si="0"/>
        <v/>
      </c>
      <c r="N38" s="291"/>
      <c r="O38" s="328" t="str">
        <f t="shared" si="1"/>
        <v/>
      </c>
      <c r="P38" s="328" t="str">
        <f t="shared" si="1"/>
        <v/>
      </c>
      <c r="Q38" s="328" t="str">
        <f t="shared" si="1"/>
        <v/>
      </c>
      <c r="R38" s="291"/>
      <c r="S38" s="328" t="str">
        <f t="shared" si="2"/>
        <v/>
      </c>
      <c r="T38" s="328" t="str">
        <f t="shared" si="2"/>
        <v/>
      </c>
      <c r="U38" s="328" t="str">
        <f t="shared" si="2"/>
        <v/>
      </c>
      <c r="V38" s="291"/>
      <c r="W38" s="328" t="str">
        <f t="shared" si="3"/>
        <v/>
      </c>
      <c r="X38" s="328" t="str">
        <f t="shared" si="3"/>
        <v/>
      </c>
      <c r="Y38" s="328" t="str">
        <f t="shared" si="3"/>
        <v/>
      </c>
      <c r="AA38" s="328" t="str">
        <f t="shared" si="4"/>
        <v/>
      </c>
      <c r="AB38" s="328" t="str">
        <f t="shared" si="4"/>
        <v/>
      </c>
      <c r="AC38" s="328" t="str">
        <f t="shared" si="4"/>
        <v/>
      </c>
      <c r="AE38" s="328" t="str">
        <f t="shared" si="5"/>
        <v/>
      </c>
      <c r="AF38" s="328" t="str">
        <f t="shared" si="5"/>
        <v/>
      </c>
      <c r="AG38" s="328" t="str">
        <f t="shared" si="5"/>
        <v/>
      </c>
      <c r="AI38" s="328" t="str">
        <f t="shared" si="6"/>
        <v/>
      </c>
      <c r="AJ38" s="328" t="str">
        <f t="shared" si="6"/>
        <v/>
      </c>
      <c r="AK38" s="328" t="str">
        <f t="shared" si="6"/>
        <v/>
      </c>
    </row>
    <row r="39" spans="1:37">
      <c r="A39" s="422">
        <f t="shared" si="7"/>
        <v>26</v>
      </c>
      <c r="B39" s="340"/>
      <c r="C39" s="340"/>
      <c r="D39" s="340"/>
      <c r="E39" s="340"/>
      <c r="F39" s="340"/>
      <c r="G39" s="340"/>
      <c r="H39" s="340"/>
      <c r="I39" s="340"/>
      <c r="J39" s="340"/>
      <c r="K39" s="340"/>
      <c r="L39" s="340"/>
      <c r="M39" s="340" t="str">
        <f t="shared" si="0"/>
        <v/>
      </c>
      <c r="N39" s="291"/>
      <c r="O39" s="328" t="str">
        <f t="shared" si="1"/>
        <v/>
      </c>
      <c r="P39" s="328" t="str">
        <f t="shared" si="1"/>
        <v/>
      </c>
      <c r="Q39" s="328" t="str">
        <f t="shared" si="1"/>
        <v/>
      </c>
      <c r="R39" s="291"/>
      <c r="S39" s="328" t="str">
        <f t="shared" si="2"/>
        <v/>
      </c>
      <c r="T39" s="328" t="str">
        <f t="shared" si="2"/>
        <v/>
      </c>
      <c r="U39" s="328" t="str">
        <f t="shared" si="2"/>
        <v/>
      </c>
      <c r="V39" s="291"/>
      <c r="W39" s="328" t="str">
        <f t="shared" si="3"/>
        <v/>
      </c>
      <c r="X39" s="328" t="str">
        <f t="shared" si="3"/>
        <v/>
      </c>
      <c r="Y39" s="328" t="str">
        <f t="shared" si="3"/>
        <v/>
      </c>
      <c r="AA39" s="328" t="str">
        <f t="shared" si="4"/>
        <v/>
      </c>
      <c r="AB39" s="328" t="str">
        <f t="shared" si="4"/>
        <v/>
      </c>
      <c r="AC39" s="328" t="str">
        <f t="shared" si="4"/>
        <v/>
      </c>
      <c r="AE39" s="328" t="str">
        <f t="shared" si="5"/>
        <v/>
      </c>
      <c r="AF39" s="328" t="str">
        <f t="shared" si="5"/>
        <v/>
      </c>
      <c r="AG39" s="328" t="str">
        <f t="shared" si="5"/>
        <v/>
      </c>
      <c r="AI39" s="328" t="str">
        <f t="shared" si="6"/>
        <v/>
      </c>
      <c r="AJ39" s="328" t="str">
        <f t="shared" si="6"/>
        <v/>
      </c>
      <c r="AK39" s="328" t="str">
        <f t="shared" si="6"/>
        <v/>
      </c>
    </row>
    <row r="40" spans="1:37">
      <c r="A40" s="422">
        <f t="shared" si="7"/>
        <v>27</v>
      </c>
      <c r="B40" s="340"/>
      <c r="C40" s="340"/>
      <c r="D40" s="340"/>
      <c r="E40" s="340"/>
      <c r="F40" s="340"/>
      <c r="G40" s="340"/>
      <c r="H40" s="340"/>
      <c r="I40" s="340"/>
      <c r="J40" s="340"/>
      <c r="K40" s="340"/>
      <c r="L40" s="340"/>
      <c r="M40" s="340" t="str">
        <f t="shared" si="0"/>
        <v/>
      </c>
      <c r="N40" s="291"/>
      <c r="O40" s="328" t="str">
        <f t="shared" si="1"/>
        <v/>
      </c>
      <c r="P40" s="328" t="str">
        <f t="shared" si="1"/>
        <v/>
      </c>
      <c r="Q40" s="328" t="str">
        <f t="shared" si="1"/>
        <v/>
      </c>
      <c r="R40" s="291"/>
      <c r="S40" s="328" t="str">
        <f t="shared" si="2"/>
        <v/>
      </c>
      <c r="T40" s="328" t="str">
        <f t="shared" si="2"/>
        <v/>
      </c>
      <c r="U40" s="328" t="str">
        <f t="shared" si="2"/>
        <v/>
      </c>
      <c r="V40" s="291"/>
      <c r="W40" s="328" t="str">
        <f t="shared" si="3"/>
        <v/>
      </c>
      <c r="X40" s="328" t="str">
        <f t="shared" si="3"/>
        <v/>
      </c>
      <c r="Y40" s="328" t="str">
        <f t="shared" si="3"/>
        <v/>
      </c>
      <c r="AA40" s="328" t="str">
        <f t="shared" si="4"/>
        <v/>
      </c>
      <c r="AB40" s="328" t="str">
        <f t="shared" si="4"/>
        <v/>
      </c>
      <c r="AC40" s="328" t="str">
        <f t="shared" si="4"/>
        <v/>
      </c>
      <c r="AE40" s="328" t="str">
        <f t="shared" si="5"/>
        <v/>
      </c>
      <c r="AF40" s="328" t="str">
        <f t="shared" si="5"/>
        <v/>
      </c>
      <c r="AG40" s="328" t="str">
        <f t="shared" si="5"/>
        <v/>
      </c>
      <c r="AI40" s="328" t="str">
        <f t="shared" si="6"/>
        <v/>
      </c>
      <c r="AJ40" s="328" t="str">
        <f t="shared" si="6"/>
        <v/>
      </c>
      <c r="AK40" s="328" t="str">
        <f t="shared" si="6"/>
        <v/>
      </c>
    </row>
    <row r="41" spans="1:37">
      <c r="A41" s="422">
        <f t="shared" si="7"/>
        <v>28</v>
      </c>
      <c r="B41" s="340"/>
      <c r="C41" s="340"/>
      <c r="D41" s="340"/>
      <c r="E41" s="340"/>
      <c r="F41" s="340"/>
      <c r="G41" s="340"/>
      <c r="H41" s="340"/>
      <c r="I41" s="340"/>
      <c r="J41" s="340"/>
      <c r="K41" s="340"/>
      <c r="L41" s="340"/>
      <c r="M41" s="340" t="str">
        <f t="shared" si="0"/>
        <v/>
      </c>
      <c r="N41" s="291"/>
      <c r="O41" s="328" t="str">
        <f t="shared" si="1"/>
        <v/>
      </c>
      <c r="P41" s="328" t="str">
        <f t="shared" si="1"/>
        <v/>
      </c>
      <c r="Q41" s="328" t="str">
        <f t="shared" si="1"/>
        <v/>
      </c>
      <c r="R41" s="291"/>
      <c r="S41" s="328" t="str">
        <f t="shared" si="2"/>
        <v/>
      </c>
      <c r="T41" s="328" t="str">
        <f t="shared" si="2"/>
        <v/>
      </c>
      <c r="U41" s="328" t="str">
        <f t="shared" si="2"/>
        <v/>
      </c>
      <c r="V41" s="291"/>
      <c r="W41" s="328" t="str">
        <f t="shared" si="3"/>
        <v/>
      </c>
      <c r="X41" s="328" t="str">
        <f t="shared" si="3"/>
        <v/>
      </c>
      <c r="Y41" s="328" t="str">
        <f t="shared" si="3"/>
        <v/>
      </c>
      <c r="AA41" s="328" t="str">
        <f t="shared" si="4"/>
        <v/>
      </c>
      <c r="AB41" s="328" t="str">
        <f t="shared" si="4"/>
        <v/>
      </c>
      <c r="AC41" s="328" t="str">
        <f t="shared" si="4"/>
        <v/>
      </c>
      <c r="AE41" s="328" t="str">
        <f t="shared" si="5"/>
        <v/>
      </c>
      <c r="AF41" s="328" t="str">
        <f t="shared" si="5"/>
        <v/>
      </c>
      <c r="AG41" s="328" t="str">
        <f t="shared" si="5"/>
        <v/>
      </c>
      <c r="AI41" s="328" t="str">
        <f t="shared" si="6"/>
        <v/>
      </c>
      <c r="AJ41" s="328" t="str">
        <f t="shared" si="6"/>
        <v/>
      </c>
      <c r="AK41" s="328" t="str">
        <f t="shared" si="6"/>
        <v/>
      </c>
    </row>
    <row r="42" spans="1:37">
      <c r="A42" s="422">
        <f t="shared" si="7"/>
        <v>29</v>
      </c>
      <c r="B42" s="340"/>
      <c r="C42" s="340"/>
      <c r="D42" s="340"/>
      <c r="E42" s="340"/>
      <c r="F42" s="340"/>
      <c r="G42" s="340"/>
      <c r="H42" s="340"/>
      <c r="I42" s="340"/>
      <c r="J42" s="340"/>
      <c r="K42" s="340"/>
      <c r="L42" s="340"/>
      <c r="M42" s="340" t="str">
        <f t="shared" si="0"/>
        <v/>
      </c>
      <c r="N42" s="291"/>
      <c r="O42" s="328" t="str">
        <f t="shared" si="1"/>
        <v/>
      </c>
      <c r="P42" s="328" t="str">
        <f t="shared" si="1"/>
        <v/>
      </c>
      <c r="Q42" s="328" t="str">
        <f t="shared" si="1"/>
        <v/>
      </c>
      <c r="R42" s="291"/>
      <c r="S42" s="328" t="str">
        <f t="shared" si="2"/>
        <v/>
      </c>
      <c r="T42" s="328" t="str">
        <f t="shared" si="2"/>
        <v/>
      </c>
      <c r="U42" s="328" t="str">
        <f t="shared" si="2"/>
        <v/>
      </c>
      <c r="V42" s="291"/>
      <c r="W42" s="328" t="str">
        <f t="shared" si="3"/>
        <v/>
      </c>
      <c r="X42" s="328" t="str">
        <f t="shared" si="3"/>
        <v/>
      </c>
      <c r="Y42" s="328" t="str">
        <f t="shared" si="3"/>
        <v/>
      </c>
      <c r="AA42" s="328" t="str">
        <f t="shared" si="4"/>
        <v/>
      </c>
      <c r="AB42" s="328" t="str">
        <f t="shared" si="4"/>
        <v/>
      </c>
      <c r="AC42" s="328" t="str">
        <f t="shared" si="4"/>
        <v/>
      </c>
      <c r="AE42" s="328" t="str">
        <f t="shared" si="5"/>
        <v/>
      </c>
      <c r="AF42" s="328" t="str">
        <f t="shared" si="5"/>
        <v/>
      </c>
      <c r="AG42" s="328" t="str">
        <f t="shared" si="5"/>
        <v/>
      </c>
      <c r="AI42" s="328" t="str">
        <f t="shared" si="6"/>
        <v/>
      </c>
      <c r="AJ42" s="328" t="str">
        <f t="shared" si="6"/>
        <v/>
      </c>
      <c r="AK42" s="328" t="str">
        <f t="shared" si="6"/>
        <v/>
      </c>
    </row>
    <row r="43" spans="1:37">
      <c r="A43" s="422">
        <f t="shared" si="7"/>
        <v>30</v>
      </c>
      <c r="B43" s="340"/>
      <c r="C43" s="340"/>
      <c r="D43" s="340"/>
      <c r="E43" s="340"/>
      <c r="F43" s="340"/>
      <c r="G43" s="340"/>
      <c r="H43" s="340"/>
      <c r="I43" s="340"/>
      <c r="J43" s="340"/>
      <c r="K43" s="340"/>
      <c r="L43" s="340"/>
      <c r="M43" s="340" t="str">
        <f t="shared" si="0"/>
        <v/>
      </c>
      <c r="N43" s="291"/>
      <c r="O43" s="328" t="str">
        <f t="shared" si="1"/>
        <v/>
      </c>
      <c r="P43" s="328" t="str">
        <f t="shared" si="1"/>
        <v/>
      </c>
      <c r="Q43" s="328" t="str">
        <f t="shared" si="1"/>
        <v/>
      </c>
      <c r="R43" s="291"/>
      <c r="S43" s="328" t="str">
        <f t="shared" si="2"/>
        <v/>
      </c>
      <c r="T43" s="328" t="str">
        <f t="shared" si="2"/>
        <v/>
      </c>
      <c r="U43" s="328" t="str">
        <f t="shared" si="2"/>
        <v/>
      </c>
      <c r="V43" s="291"/>
      <c r="W43" s="328" t="str">
        <f t="shared" si="3"/>
        <v/>
      </c>
      <c r="X43" s="328" t="str">
        <f t="shared" si="3"/>
        <v/>
      </c>
      <c r="Y43" s="328" t="str">
        <f t="shared" si="3"/>
        <v/>
      </c>
      <c r="AA43" s="328" t="str">
        <f t="shared" si="4"/>
        <v/>
      </c>
      <c r="AB43" s="328" t="str">
        <f t="shared" si="4"/>
        <v/>
      </c>
      <c r="AC43" s="328" t="str">
        <f t="shared" si="4"/>
        <v/>
      </c>
      <c r="AE43" s="328" t="str">
        <f t="shared" si="5"/>
        <v/>
      </c>
      <c r="AF43" s="328" t="str">
        <f t="shared" si="5"/>
        <v/>
      </c>
      <c r="AG43" s="328" t="str">
        <f t="shared" si="5"/>
        <v/>
      </c>
      <c r="AI43" s="328" t="str">
        <f t="shared" si="6"/>
        <v/>
      </c>
      <c r="AJ43" s="328" t="str">
        <f t="shared" si="6"/>
        <v/>
      </c>
      <c r="AK43" s="328" t="str">
        <f t="shared" si="6"/>
        <v/>
      </c>
    </row>
    <row r="44" spans="1:37">
      <c r="A44" s="422">
        <f t="shared" si="7"/>
        <v>31</v>
      </c>
      <c r="B44" s="340"/>
      <c r="C44" s="340"/>
      <c r="D44" s="340"/>
      <c r="E44" s="340"/>
      <c r="F44" s="340"/>
      <c r="G44" s="340"/>
      <c r="H44" s="340"/>
      <c r="I44" s="340"/>
      <c r="J44" s="340"/>
      <c r="K44" s="340"/>
      <c r="L44" s="340"/>
      <c r="M44" s="340" t="str">
        <f t="shared" si="0"/>
        <v/>
      </c>
      <c r="N44" s="291"/>
      <c r="O44" s="328" t="str">
        <f t="shared" si="1"/>
        <v/>
      </c>
      <c r="P44" s="328" t="str">
        <f t="shared" si="1"/>
        <v/>
      </c>
      <c r="Q44" s="328" t="str">
        <f t="shared" si="1"/>
        <v/>
      </c>
      <c r="R44" s="291"/>
      <c r="S44" s="328" t="str">
        <f t="shared" si="2"/>
        <v/>
      </c>
      <c r="T44" s="328" t="str">
        <f t="shared" si="2"/>
        <v/>
      </c>
      <c r="U44" s="328" t="str">
        <f t="shared" si="2"/>
        <v/>
      </c>
      <c r="V44" s="291"/>
      <c r="W44" s="328" t="str">
        <f t="shared" si="3"/>
        <v/>
      </c>
      <c r="X44" s="328" t="str">
        <f t="shared" si="3"/>
        <v/>
      </c>
      <c r="Y44" s="328" t="str">
        <f t="shared" si="3"/>
        <v/>
      </c>
      <c r="AA44" s="328" t="str">
        <f t="shared" si="4"/>
        <v/>
      </c>
      <c r="AB44" s="328" t="str">
        <f t="shared" si="4"/>
        <v/>
      </c>
      <c r="AC44" s="328" t="str">
        <f t="shared" si="4"/>
        <v/>
      </c>
      <c r="AE44" s="328" t="str">
        <f t="shared" si="5"/>
        <v/>
      </c>
      <c r="AF44" s="328" t="str">
        <f t="shared" si="5"/>
        <v/>
      </c>
      <c r="AG44" s="328" t="str">
        <f t="shared" si="5"/>
        <v/>
      </c>
      <c r="AI44" s="328" t="str">
        <f t="shared" si="6"/>
        <v/>
      </c>
      <c r="AJ44" s="328" t="str">
        <f t="shared" si="6"/>
        <v/>
      </c>
      <c r="AK44" s="328" t="str">
        <f t="shared" si="6"/>
        <v/>
      </c>
    </row>
    <row r="45" spans="1:37">
      <c r="A45" s="422">
        <f t="shared" si="7"/>
        <v>32</v>
      </c>
      <c r="B45" s="340"/>
      <c r="C45" s="340"/>
      <c r="D45" s="340"/>
      <c r="E45" s="340"/>
      <c r="F45" s="340"/>
      <c r="G45" s="340"/>
      <c r="H45" s="340"/>
      <c r="I45" s="340"/>
      <c r="J45" s="340"/>
      <c r="K45" s="340"/>
      <c r="L45" s="340"/>
      <c r="M45" s="340" t="str">
        <f t="shared" si="0"/>
        <v/>
      </c>
      <c r="N45" s="291"/>
      <c r="O45" s="328" t="str">
        <f t="shared" si="1"/>
        <v/>
      </c>
      <c r="P45" s="328" t="str">
        <f t="shared" si="1"/>
        <v/>
      </c>
      <c r="Q45" s="328" t="str">
        <f t="shared" si="1"/>
        <v/>
      </c>
      <c r="R45" s="291"/>
      <c r="S45" s="328" t="str">
        <f t="shared" si="2"/>
        <v/>
      </c>
      <c r="T45" s="328" t="str">
        <f t="shared" si="2"/>
        <v/>
      </c>
      <c r="U45" s="328" t="str">
        <f t="shared" si="2"/>
        <v/>
      </c>
      <c r="V45" s="291"/>
      <c r="W45" s="328" t="str">
        <f t="shared" si="3"/>
        <v/>
      </c>
      <c r="X45" s="328" t="str">
        <f t="shared" si="3"/>
        <v/>
      </c>
      <c r="Y45" s="328" t="str">
        <f t="shared" si="3"/>
        <v/>
      </c>
      <c r="AA45" s="328" t="str">
        <f t="shared" si="4"/>
        <v/>
      </c>
      <c r="AB45" s="328" t="str">
        <f t="shared" si="4"/>
        <v/>
      </c>
      <c r="AC45" s="328" t="str">
        <f t="shared" si="4"/>
        <v/>
      </c>
      <c r="AE45" s="328" t="str">
        <f t="shared" si="5"/>
        <v/>
      </c>
      <c r="AF45" s="328" t="str">
        <f t="shared" si="5"/>
        <v/>
      </c>
      <c r="AG45" s="328" t="str">
        <f t="shared" si="5"/>
        <v/>
      </c>
      <c r="AI45" s="328" t="str">
        <f t="shared" si="6"/>
        <v/>
      </c>
      <c r="AJ45" s="328" t="str">
        <f t="shared" si="6"/>
        <v/>
      </c>
      <c r="AK45" s="328" t="str">
        <f t="shared" si="6"/>
        <v/>
      </c>
    </row>
    <row r="46" spans="1:37">
      <c r="A46" s="422">
        <f t="shared" si="7"/>
        <v>33</v>
      </c>
      <c r="B46" s="340"/>
      <c r="C46" s="340"/>
      <c r="D46" s="340"/>
      <c r="E46" s="340"/>
      <c r="F46" s="340"/>
      <c r="G46" s="340"/>
      <c r="H46" s="340"/>
      <c r="I46" s="340"/>
      <c r="J46" s="340"/>
      <c r="K46" s="340"/>
      <c r="L46" s="340"/>
      <c r="M46" s="340" t="str">
        <f t="shared" si="0"/>
        <v/>
      </c>
      <c r="N46" s="291"/>
      <c r="O46" s="328" t="str">
        <f t="shared" si="1"/>
        <v/>
      </c>
      <c r="P46" s="328" t="str">
        <f t="shared" si="1"/>
        <v/>
      </c>
      <c r="Q46" s="328" t="str">
        <f t="shared" si="1"/>
        <v/>
      </c>
      <c r="R46" s="291"/>
      <c r="S46" s="328" t="str">
        <f t="shared" si="2"/>
        <v/>
      </c>
      <c r="T46" s="328" t="str">
        <f t="shared" si="2"/>
        <v/>
      </c>
      <c r="U46" s="328" t="str">
        <f t="shared" si="2"/>
        <v/>
      </c>
      <c r="V46" s="291"/>
      <c r="W46" s="328" t="str">
        <f t="shared" si="3"/>
        <v/>
      </c>
      <c r="X46" s="328" t="str">
        <f t="shared" si="3"/>
        <v/>
      </c>
      <c r="Y46" s="328" t="str">
        <f t="shared" si="3"/>
        <v/>
      </c>
      <c r="AA46" s="328" t="str">
        <f t="shared" si="4"/>
        <v/>
      </c>
      <c r="AB46" s="328" t="str">
        <f t="shared" si="4"/>
        <v/>
      </c>
      <c r="AC46" s="328" t="str">
        <f t="shared" si="4"/>
        <v/>
      </c>
      <c r="AE46" s="328" t="str">
        <f t="shared" si="5"/>
        <v/>
      </c>
      <c r="AF46" s="328" t="str">
        <f t="shared" si="5"/>
        <v/>
      </c>
      <c r="AG46" s="328" t="str">
        <f t="shared" si="5"/>
        <v/>
      </c>
      <c r="AI46" s="328" t="str">
        <f t="shared" si="6"/>
        <v/>
      </c>
      <c r="AJ46" s="328" t="str">
        <f t="shared" si="6"/>
        <v/>
      </c>
      <c r="AK46" s="328" t="str">
        <f t="shared" si="6"/>
        <v/>
      </c>
    </row>
    <row r="47" spans="1:37">
      <c r="A47" s="422">
        <f t="shared" si="7"/>
        <v>34</v>
      </c>
      <c r="B47" s="340"/>
      <c r="C47" s="340"/>
      <c r="D47" s="340"/>
      <c r="E47" s="340"/>
      <c r="F47" s="340"/>
      <c r="G47" s="340"/>
      <c r="H47" s="340"/>
      <c r="I47" s="340"/>
      <c r="J47" s="340"/>
      <c r="K47" s="340"/>
      <c r="L47" s="340"/>
      <c r="M47" s="340" t="str">
        <f t="shared" si="0"/>
        <v/>
      </c>
      <c r="N47" s="291"/>
      <c r="O47" s="328" t="str">
        <f t="shared" si="1"/>
        <v/>
      </c>
      <c r="P47" s="328" t="str">
        <f t="shared" si="1"/>
        <v/>
      </c>
      <c r="Q47" s="328" t="str">
        <f t="shared" si="1"/>
        <v/>
      </c>
      <c r="R47" s="291"/>
      <c r="S47" s="328" t="str">
        <f t="shared" si="2"/>
        <v/>
      </c>
      <c r="T47" s="328" t="str">
        <f t="shared" si="2"/>
        <v/>
      </c>
      <c r="U47" s="328" t="str">
        <f t="shared" si="2"/>
        <v/>
      </c>
      <c r="V47" s="291"/>
      <c r="W47" s="328" t="str">
        <f t="shared" si="3"/>
        <v/>
      </c>
      <c r="X47" s="328" t="str">
        <f t="shared" si="3"/>
        <v/>
      </c>
      <c r="Y47" s="328" t="str">
        <f t="shared" si="3"/>
        <v/>
      </c>
      <c r="AA47" s="328" t="str">
        <f t="shared" si="4"/>
        <v/>
      </c>
      <c r="AB47" s="328" t="str">
        <f t="shared" si="4"/>
        <v/>
      </c>
      <c r="AC47" s="328" t="str">
        <f t="shared" si="4"/>
        <v/>
      </c>
      <c r="AE47" s="328" t="str">
        <f t="shared" si="5"/>
        <v/>
      </c>
      <c r="AF47" s="328" t="str">
        <f t="shared" si="5"/>
        <v/>
      </c>
      <c r="AG47" s="328" t="str">
        <f t="shared" si="5"/>
        <v/>
      </c>
      <c r="AI47" s="328" t="str">
        <f t="shared" si="6"/>
        <v/>
      </c>
      <c r="AJ47" s="328" t="str">
        <f t="shared" si="6"/>
        <v/>
      </c>
      <c r="AK47" s="328" t="str">
        <f t="shared" si="6"/>
        <v/>
      </c>
    </row>
    <row r="48" spans="1:37">
      <c r="A48" s="422">
        <f t="shared" si="7"/>
        <v>35</v>
      </c>
      <c r="B48" s="340"/>
      <c r="C48" s="340"/>
      <c r="D48" s="340"/>
      <c r="E48" s="340"/>
      <c r="F48" s="340"/>
      <c r="G48" s="340"/>
      <c r="H48" s="340"/>
      <c r="I48" s="340"/>
      <c r="J48" s="340"/>
      <c r="K48" s="340"/>
      <c r="L48" s="340"/>
      <c r="M48" s="340" t="str">
        <f t="shared" si="0"/>
        <v/>
      </c>
      <c r="N48" s="291"/>
      <c r="O48" s="328" t="str">
        <f t="shared" si="1"/>
        <v/>
      </c>
      <c r="P48" s="328" t="str">
        <f t="shared" si="1"/>
        <v/>
      </c>
      <c r="Q48" s="328" t="str">
        <f t="shared" si="1"/>
        <v/>
      </c>
      <c r="R48" s="291"/>
      <c r="S48" s="328" t="str">
        <f t="shared" si="2"/>
        <v/>
      </c>
      <c r="T48" s="328" t="str">
        <f t="shared" si="2"/>
        <v/>
      </c>
      <c r="U48" s="328" t="str">
        <f t="shared" si="2"/>
        <v/>
      </c>
      <c r="V48" s="291"/>
      <c r="W48" s="328" t="str">
        <f t="shared" si="3"/>
        <v/>
      </c>
      <c r="X48" s="328" t="str">
        <f t="shared" si="3"/>
        <v/>
      </c>
      <c r="Y48" s="328" t="str">
        <f t="shared" si="3"/>
        <v/>
      </c>
      <c r="AA48" s="328" t="str">
        <f t="shared" si="4"/>
        <v/>
      </c>
      <c r="AB48" s="328" t="str">
        <f t="shared" si="4"/>
        <v/>
      </c>
      <c r="AC48" s="328" t="str">
        <f t="shared" si="4"/>
        <v/>
      </c>
      <c r="AE48" s="328" t="str">
        <f t="shared" si="5"/>
        <v/>
      </c>
      <c r="AF48" s="328" t="str">
        <f t="shared" si="5"/>
        <v/>
      </c>
      <c r="AG48" s="328" t="str">
        <f t="shared" si="5"/>
        <v/>
      </c>
      <c r="AI48" s="328" t="str">
        <f t="shared" si="6"/>
        <v/>
      </c>
      <c r="AJ48" s="328" t="str">
        <f t="shared" si="6"/>
        <v/>
      </c>
      <c r="AK48" s="328" t="str">
        <f t="shared" si="6"/>
        <v/>
      </c>
    </row>
    <row r="49" spans="1:37">
      <c r="A49" s="422">
        <f t="shared" si="7"/>
        <v>36</v>
      </c>
      <c r="B49" s="340"/>
      <c r="C49" s="340"/>
      <c r="D49" s="340"/>
      <c r="E49" s="340"/>
      <c r="F49" s="340"/>
      <c r="G49" s="340"/>
      <c r="H49" s="340"/>
      <c r="I49" s="340"/>
      <c r="J49" s="340"/>
      <c r="K49" s="340"/>
      <c r="L49" s="340"/>
      <c r="M49" s="340" t="str">
        <f t="shared" si="0"/>
        <v/>
      </c>
      <c r="N49" s="291"/>
      <c r="O49" s="328" t="str">
        <f t="shared" si="1"/>
        <v/>
      </c>
      <c r="P49" s="328" t="str">
        <f t="shared" si="1"/>
        <v/>
      </c>
      <c r="Q49" s="328" t="str">
        <f t="shared" si="1"/>
        <v/>
      </c>
      <c r="R49" s="291"/>
      <c r="S49" s="328" t="str">
        <f t="shared" si="2"/>
        <v/>
      </c>
      <c r="T49" s="328" t="str">
        <f t="shared" si="2"/>
        <v/>
      </c>
      <c r="U49" s="328" t="str">
        <f t="shared" si="2"/>
        <v/>
      </c>
      <c r="V49" s="291"/>
      <c r="W49" s="328" t="str">
        <f t="shared" si="3"/>
        <v/>
      </c>
      <c r="X49" s="328" t="str">
        <f t="shared" si="3"/>
        <v/>
      </c>
      <c r="Y49" s="328" t="str">
        <f t="shared" si="3"/>
        <v/>
      </c>
      <c r="AA49" s="328" t="str">
        <f t="shared" si="4"/>
        <v/>
      </c>
      <c r="AB49" s="328" t="str">
        <f t="shared" si="4"/>
        <v/>
      </c>
      <c r="AC49" s="328" t="str">
        <f t="shared" si="4"/>
        <v/>
      </c>
      <c r="AE49" s="328" t="str">
        <f t="shared" si="5"/>
        <v/>
      </c>
      <c r="AF49" s="328" t="str">
        <f t="shared" si="5"/>
        <v/>
      </c>
      <c r="AG49" s="328" t="str">
        <f t="shared" si="5"/>
        <v/>
      </c>
      <c r="AI49" s="328" t="str">
        <f t="shared" si="6"/>
        <v/>
      </c>
      <c r="AJ49" s="328" t="str">
        <f t="shared" si="6"/>
        <v/>
      </c>
      <c r="AK49" s="328" t="str">
        <f t="shared" si="6"/>
        <v/>
      </c>
    </row>
    <row r="50" spans="1:37">
      <c r="A50" s="422">
        <f t="shared" si="7"/>
        <v>37</v>
      </c>
      <c r="B50" s="340"/>
      <c r="C50" s="340"/>
      <c r="D50" s="340"/>
      <c r="E50" s="340"/>
      <c r="F50" s="340"/>
      <c r="G50" s="340"/>
      <c r="H50" s="340"/>
      <c r="I50" s="340"/>
      <c r="J50" s="340"/>
      <c r="K50" s="340"/>
      <c r="L50" s="340"/>
      <c r="M50" s="340" t="str">
        <f t="shared" si="0"/>
        <v/>
      </c>
      <c r="N50" s="291"/>
      <c r="O50" s="328" t="str">
        <f t="shared" si="1"/>
        <v/>
      </c>
      <c r="P50" s="328" t="str">
        <f t="shared" si="1"/>
        <v/>
      </c>
      <c r="Q50" s="328" t="str">
        <f t="shared" si="1"/>
        <v/>
      </c>
      <c r="R50" s="291"/>
      <c r="S50" s="328" t="str">
        <f t="shared" si="2"/>
        <v/>
      </c>
      <c r="T50" s="328" t="str">
        <f t="shared" si="2"/>
        <v/>
      </c>
      <c r="U50" s="328" t="str">
        <f t="shared" si="2"/>
        <v/>
      </c>
      <c r="V50" s="291"/>
      <c r="W50" s="328" t="str">
        <f t="shared" si="3"/>
        <v/>
      </c>
      <c r="X50" s="328" t="str">
        <f t="shared" si="3"/>
        <v/>
      </c>
      <c r="Y50" s="328" t="str">
        <f t="shared" si="3"/>
        <v/>
      </c>
      <c r="AA50" s="328" t="str">
        <f t="shared" si="4"/>
        <v/>
      </c>
      <c r="AB50" s="328" t="str">
        <f t="shared" si="4"/>
        <v/>
      </c>
      <c r="AC50" s="328" t="str">
        <f t="shared" si="4"/>
        <v/>
      </c>
      <c r="AE50" s="328" t="str">
        <f t="shared" si="5"/>
        <v/>
      </c>
      <c r="AF50" s="328" t="str">
        <f t="shared" si="5"/>
        <v/>
      </c>
      <c r="AG50" s="328" t="str">
        <f t="shared" si="5"/>
        <v/>
      </c>
      <c r="AI50" s="328" t="str">
        <f t="shared" si="6"/>
        <v/>
      </c>
      <c r="AJ50" s="328" t="str">
        <f t="shared" si="6"/>
        <v/>
      </c>
      <c r="AK50" s="328" t="str">
        <f t="shared" si="6"/>
        <v/>
      </c>
    </row>
    <row r="51" spans="1:37" ht="15.75">
      <c r="A51" s="774" t="s">
        <v>608</v>
      </c>
      <c r="B51" s="774"/>
      <c r="C51" s="774"/>
      <c r="D51" s="774"/>
      <c r="E51" s="774"/>
      <c r="F51" s="774"/>
      <c r="G51" s="774"/>
      <c r="H51" s="774"/>
      <c r="I51" s="774"/>
      <c r="J51" s="774"/>
      <c r="K51" s="774"/>
      <c r="L51" s="774"/>
      <c r="M51" s="774"/>
      <c r="N51" s="291"/>
      <c r="O51" s="328"/>
      <c r="P51" s="328"/>
      <c r="Q51" s="328"/>
      <c r="R51" s="291"/>
      <c r="S51" s="328"/>
      <c r="T51" s="328"/>
      <c r="U51" s="328"/>
      <c r="V51" s="291"/>
      <c r="W51" s="328"/>
      <c r="X51" s="328"/>
      <c r="Y51" s="328"/>
      <c r="AA51" s="328"/>
      <c r="AB51" s="328"/>
      <c r="AC51" s="328"/>
      <c r="AE51" s="328"/>
      <c r="AF51" s="328"/>
      <c r="AG51" s="328"/>
      <c r="AI51" s="328"/>
      <c r="AJ51" s="328"/>
      <c r="AK51" s="328"/>
    </row>
    <row r="52" spans="1:37" ht="25.5">
      <c r="A52" s="422" t="s">
        <v>27</v>
      </c>
      <c r="B52" s="422" t="s">
        <v>211</v>
      </c>
      <c r="C52" s="422" t="s">
        <v>212</v>
      </c>
      <c r="D52" s="422" t="s">
        <v>213</v>
      </c>
      <c r="E52" s="422" t="s">
        <v>214</v>
      </c>
      <c r="F52" s="422" t="s">
        <v>215</v>
      </c>
      <c r="G52" s="422" t="s">
        <v>216</v>
      </c>
      <c r="H52" s="422" t="s">
        <v>217</v>
      </c>
      <c r="I52" s="422" t="s">
        <v>218</v>
      </c>
      <c r="J52" s="422" t="s">
        <v>219</v>
      </c>
      <c r="K52" s="422" t="s">
        <v>220</v>
      </c>
      <c r="L52" s="447" t="s">
        <v>222</v>
      </c>
      <c r="M52" s="422" t="s">
        <v>221</v>
      </c>
      <c r="N52" s="291"/>
      <c r="O52" s="328"/>
      <c r="P52" s="328"/>
      <c r="Q52" s="328"/>
      <c r="R52" s="291"/>
      <c r="S52" s="328"/>
      <c r="T52" s="328"/>
      <c r="U52" s="328"/>
      <c r="V52" s="291"/>
      <c r="W52" s="328"/>
      <c r="X52" s="328"/>
      <c r="Y52" s="328"/>
      <c r="AA52" s="328"/>
      <c r="AB52" s="328"/>
      <c r="AC52" s="328"/>
      <c r="AE52" s="328"/>
      <c r="AF52" s="328"/>
      <c r="AG52" s="328"/>
      <c r="AI52" s="328"/>
      <c r="AJ52" s="328"/>
      <c r="AK52" s="328"/>
    </row>
    <row r="53" spans="1:37">
      <c r="A53" s="422">
        <f>A50+1</f>
        <v>38</v>
      </c>
      <c r="B53" s="340"/>
      <c r="C53" s="340"/>
      <c r="D53" s="340"/>
      <c r="E53" s="340"/>
      <c r="F53" s="340"/>
      <c r="G53" s="340"/>
      <c r="H53" s="340"/>
      <c r="I53" s="340"/>
      <c r="J53" s="340"/>
      <c r="K53" s="340"/>
      <c r="L53" s="340"/>
      <c r="M53" s="340" t="str">
        <f t="shared" ref="M53:M62" si="8">IF(B53&lt;&gt;"",IF(SUM(B53:J53)=9,"+",IF(SUM(B53:J53)=0,"-","x")),"")</f>
        <v/>
      </c>
      <c r="N53" s="291"/>
      <c r="O53" s="328" t="str">
        <f t="shared" ref="O53:Q62" si="9">IF(B53&lt;&gt;"",IF(AND(B53=0,E53=0),"a",IF(AND(B53=1,E53=0),"b",IF(AND(B53=0,E53=1),"c","d"))),"")</f>
        <v/>
      </c>
      <c r="P53" s="328" t="str">
        <f t="shared" si="9"/>
        <v/>
      </c>
      <c r="Q53" s="328" t="str">
        <f t="shared" si="9"/>
        <v/>
      </c>
      <c r="R53" s="291"/>
      <c r="S53" s="328" t="str">
        <f t="shared" ref="S53:U62" si="10">IF(E53&lt;&gt;"",IF(AND(E53=0,H53=0),"a",IF(AND(E53=1,H53=0),"b",IF(AND(E53=0,H53=1),"c","d"))),"")</f>
        <v/>
      </c>
      <c r="T53" s="328" t="str">
        <f t="shared" si="10"/>
        <v/>
      </c>
      <c r="U53" s="328" t="str">
        <f t="shared" si="10"/>
        <v/>
      </c>
      <c r="V53" s="291"/>
      <c r="W53" s="328" t="str">
        <f t="shared" ref="W53:Y62" si="11">IF(B53&lt;&gt;"",IF(AND(B53=0,H53=0),"a",IF(AND(B53=1,H53=0),"b",IF(AND(B53=0,H53=1),"c","d"))),"")</f>
        <v/>
      </c>
      <c r="X53" s="328" t="str">
        <f t="shared" si="11"/>
        <v/>
      </c>
      <c r="Y53" s="328" t="str">
        <f t="shared" si="11"/>
        <v/>
      </c>
      <c r="AA53" s="328" t="str">
        <f t="shared" ref="AA53:AC62" si="12">IF(B53&lt;&gt;"",IF(AND(B53=0,$K53=0),"a",IF(AND(B53=1,$K53=0),"b",IF(AND(B53=0,$K53=1),"c","d"))),"")</f>
        <v/>
      </c>
      <c r="AB53" s="328" t="str">
        <f t="shared" si="12"/>
        <v/>
      </c>
      <c r="AC53" s="328" t="str">
        <f t="shared" si="12"/>
        <v/>
      </c>
      <c r="AE53" s="328" t="str">
        <f t="shared" ref="AE53:AG62" si="13">IF(F53&lt;&gt;"",IF(AND(E53=0,$K53=0),"a",IF(AND(E53=1,$K53=0),"b",IF(AND(E53=0,$K53=1),"c","d"))),"")</f>
        <v/>
      </c>
      <c r="AF53" s="328" t="str">
        <f t="shared" si="13"/>
        <v/>
      </c>
      <c r="AG53" s="328" t="str">
        <f t="shared" si="13"/>
        <v/>
      </c>
      <c r="AI53" s="328" t="str">
        <f t="shared" ref="AI53:AK62" si="14">IF(J53&lt;&gt;"",IF(AND(H53=0,$K53=0),"a",IF(AND(H53=1,$K53=0),"b",IF(AND(H53=0,$K53=1),"c","d"))),"")</f>
        <v/>
      </c>
      <c r="AJ53" s="328" t="str">
        <f t="shared" si="14"/>
        <v/>
      </c>
      <c r="AK53" s="328" t="str">
        <f t="shared" si="14"/>
        <v/>
      </c>
    </row>
    <row r="54" spans="1:37">
      <c r="A54" s="422">
        <f t="shared" si="7"/>
        <v>39</v>
      </c>
      <c r="B54" s="340"/>
      <c r="C54" s="340"/>
      <c r="D54" s="340"/>
      <c r="E54" s="340"/>
      <c r="F54" s="340"/>
      <c r="G54" s="340"/>
      <c r="H54" s="340"/>
      <c r="I54" s="340"/>
      <c r="J54" s="340"/>
      <c r="K54" s="340"/>
      <c r="L54" s="340"/>
      <c r="M54" s="340" t="str">
        <f t="shared" si="8"/>
        <v/>
      </c>
      <c r="N54" s="291"/>
      <c r="O54" s="328" t="str">
        <f t="shared" si="9"/>
        <v/>
      </c>
      <c r="P54" s="328" t="str">
        <f t="shared" si="9"/>
        <v/>
      </c>
      <c r="Q54" s="328" t="str">
        <f t="shared" si="9"/>
        <v/>
      </c>
      <c r="R54" s="291"/>
      <c r="S54" s="328" t="str">
        <f t="shared" si="10"/>
        <v/>
      </c>
      <c r="T54" s="328" t="str">
        <f t="shared" si="10"/>
        <v/>
      </c>
      <c r="U54" s="328" t="str">
        <f t="shared" si="10"/>
        <v/>
      </c>
      <c r="V54" s="291"/>
      <c r="W54" s="328" t="str">
        <f t="shared" si="11"/>
        <v/>
      </c>
      <c r="X54" s="328" t="str">
        <f t="shared" si="11"/>
        <v/>
      </c>
      <c r="Y54" s="328" t="str">
        <f t="shared" si="11"/>
        <v/>
      </c>
      <c r="AA54" s="328" t="str">
        <f t="shared" si="12"/>
        <v/>
      </c>
      <c r="AB54" s="328" t="str">
        <f t="shared" si="12"/>
        <v/>
      </c>
      <c r="AC54" s="328" t="str">
        <f t="shared" si="12"/>
        <v/>
      </c>
      <c r="AE54" s="328" t="str">
        <f t="shared" si="13"/>
        <v/>
      </c>
      <c r="AF54" s="328" t="str">
        <f t="shared" si="13"/>
        <v/>
      </c>
      <c r="AG54" s="328" t="str">
        <f t="shared" si="13"/>
        <v/>
      </c>
      <c r="AI54" s="328" t="str">
        <f t="shared" si="14"/>
        <v/>
      </c>
      <c r="AJ54" s="328" t="str">
        <f t="shared" si="14"/>
        <v/>
      </c>
      <c r="AK54" s="328" t="str">
        <f t="shared" si="14"/>
        <v/>
      </c>
    </row>
    <row r="55" spans="1:37">
      <c r="A55" s="422">
        <f t="shared" si="7"/>
        <v>40</v>
      </c>
      <c r="B55" s="340"/>
      <c r="C55" s="340"/>
      <c r="D55" s="340"/>
      <c r="E55" s="340"/>
      <c r="F55" s="340"/>
      <c r="G55" s="340"/>
      <c r="H55" s="340"/>
      <c r="I55" s="340"/>
      <c r="J55" s="340"/>
      <c r="K55" s="340"/>
      <c r="L55" s="340"/>
      <c r="M55" s="340" t="str">
        <f t="shared" si="8"/>
        <v/>
      </c>
      <c r="N55" s="291"/>
      <c r="O55" s="328" t="str">
        <f t="shared" si="9"/>
        <v/>
      </c>
      <c r="P55" s="328" t="str">
        <f t="shared" si="9"/>
        <v/>
      </c>
      <c r="Q55" s="328" t="str">
        <f t="shared" si="9"/>
        <v/>
      </c>
      <c r="R55" s="291"/>
      <c r="S55" s="328" t="str">
        <f t="shared" si="10"/>
        <v/>
      </c>
      <c r="T55" s="328" t="str">
        <f t="shared" si="10"/>
        <v/>
      </c>
      <c r="U55" s="328" t="str">
        <f t="shared" si="10"/>
        <v/>
      </c>
      <c r="V55" s="291"/>
      <c r="W55" s="328" t="str">
        <f t="shared" si="11"/>
        <v/>
      </c>
      <c r="X55" s="328" t="str">
        <f t="shared" si="11"/>
        <v/>
      </c>
      <c r="Y55" s="328" t="str">
        <f t="shared" si="11"/>
        <v/>
      </c>
      <c r="AA55" s="328" t="str">
        <f t="shared" si="12"/>
        <v/>
      </c>
      <c r="AB55" s="328" t="str">
        <f t="shared" si="12"/>
        <v/>
      </c>
      <c r="AC55" s="328" t="str">
        <f t="shared" si="12"/>
        <v/>
      </c>
      <c r="AE55" s="328" t="str">
        <f t="shared" si="13"/>
        <v/>
      </c>
      <c r="AF55" s="328" t="str">
        <f t="shared" si="13"/>
        <v/>
      </c>
      <c r="AG55" s="328" t="str">
        <f t="shared" si="13"/>
        <v/>
      </c>
      <c r="AI55" s="328" t="str">
        <f t="shared" si="14"/>
        <v/>
      </c>
      <c r="AJ55" s="328" t="str">
        <f t="shared" si="14"/>
        <v/>
      </c>
      <c r="AK55" s="328" t="str">
        <f t="shared" si="14"/>
        <v/>
      </c>
    </row>
    <row r="56" spans="1:37">
      <c r="A56" s="422">
        <f t="shared" si="7"/>
        <v>41</v>
      </c>
      <c r="B56" s="340"/>
      <c r="C56" s="340"/>
      <c r="D56" s="340"/>
      <c r="E56" s="340"/>
      <c r="F56" s="340"/>
      <c r="G56" s="340"/>
      <c r="H56" s="340"/>
      <c r="I56" s="340"/>
      <c r="J56" s="340"/>
      <c r="K56" s="340"/>
      <c r="L56" s="340"/>
      <c r="M56" s="340" t="str">
        <f t="shared" si="8"/>
        <v/>
      </c>
      <c r="N56" s="291"/>
      <c r="O56" s="328" t="str">
        <f t="shared" si="9"/>
        <v/>
      </c>
      <c r="P56" s="328" t="str">
        <f t="shared" si="9"/>
        <v/>
      </c>
      <c r="Q56" s="328" t="str">
        <f t="shared" si="9"/>
        <v/>
      </c>
      <c r="R56" s="291"/>
      <c r="S56" s="328" t="str">
        <f t="shared" si="10"/>
        <v/>
      </c>
      <c r="T56" s="328" t="str">
        <f t="shared" si="10"/>
        <v/>
      </c>
      <c r="U56" s="328" t="str">
        <f t="shared" si="10"/>
        <v/>
      </c>
      <c r="V56" s="291"/>
      <c r="W56" s="328" t="str">
        <f t="shared" si="11"/>
        <v/>
      </c>
      <c r="X56" s="328" t="str">
        <f t="shared" si="11"/>
        <v/>
      </c>
      <c r="Y56" s="328" t="str">
        <f t="shared" si="11"/>
        <v/>
      </c>
      <c r="AA56" s="328" t="str">
        <f t="shared" si="12"/>
        <v/>
      </c>
      <c r="AB56" s="328" t="str">
        <f t="shared" si="12"/>
        <v/>
      </c>
      <c r="AC56" s="328" t="str">
        <f t="shared" si="12"/>
        <v/>
      </c>
      <c r="AE56" s="328" t="str">
        <f t="shared" si="13"/>
        <v/>
      </c>
      <c r="AF56" s="328" t="str">
        <f t="shared" si="13"/>
        <v/>
      </c>
      <c r="AG56" s="328" t="str">
        <f t="shared" si="13"/>
        <v/>
      </c>
      <c r="AI56" s="328" t="str">
        <f t="shared" si="14"/>
        <v/>
      </c>
      <c r="AJ56" s="328" t="str">
        <f t="shared" si="14"/>
        <v/>
      </c>
      <c r="AK56" s="328" t="str">
        <f t="shared" si="14"/>
        <v/>
      </c>
    </row>
    <row r="57" spans="1:37">
      <c r="A57" s="422">
        <f t="shared" si="7"/>
        <v>42</v>
      </c>
      <c r="B57" s="340"/>
      <c r="C57" s="340"/>
      <c r="D57" s="340"/>
      <c r="E57" s="340"/>
      <c r="F57" s="340"/>
      <c r="G57" s="340"/>
      <c r="H57" s="340"/>
      <c r="I57" s="340"/>
      <c r="J57" s="340"/>
      <c r="K57" s="340"/>
      <c r="L57" s="340"/>
      <c r="M57" s="340" t="str">
        <f t="shared" si="8"/>
        <v/>
      </c>
      <c r="N57" s="291"/>
      <c r="O57" s="328" t="str">
        <f t="shared" si="9"/>
        <v/>
      </c>
      <c r="P57" s="328" t="str">
        <f t="shared" si="9"/>
        <v/>
      </c>
      <c r="Q57" s="328" t="str">
        <f t="shared" si="9"/>
        <v/>
      </c>
      <c r="R57" s="291"/>
      <c r="S57" s="328" t="str">
        <f t="shared" si="10"/>
        <v/>
      </c>
      <c r="T57" s="328" t="str">
        <f t="shared" si="10"/>
        <v/>
      </c>
      <c r="U57" s="328" t="str">
        <f t="shared" si="10"/>
        <v/>
      </c>
      <c r="V57" s="291"/>
      <c r="W57" s="328" t="str">
        <f t="shared" si="11"/>
        <v/>
      </c>
      <c r="X57" s="328" t="str">
        <f t="shared" si="11"/>
        <v/>
      </c>
      <c r="Y57" s="328" t="str">
        <f t="shared" si="11"/>
        <v/>
      </c>
      <c r="AA57" s="328" t="str">
        <f t="shared" si="12"/>
        <v/>
      </c>
      <c r="AB57" s="328" t="str">
        <f t="shared" si="12"/>
        <v/>
      </c>
      <c r="AC57" s="328" t="str">
        <f t="shared" si="12"/>
        <v/>
      </c>
      <c r="AE57" s="328" t="str">
        <f t="shared" si="13"/>
        <v/>
      </c>
      <c r="AF57" s="328" t="str">
        <f t="shared" si="13"/>
        <v/>
      </c>
      <c r="AG57" s="328" t="str">
        <f t="shared" si="13"/>
        <v/>
      </c>
      <c r="AI57" s="328" t="str">
        <f t="shared" si="14"/>
        <v/>
      </c>
      <c r="AJ57" s="328" t="str">
        <f t="shared" si="14"/>
        <v/>
      </c>
      <c r="AK57" s="328" t="str">
        <f t="shared" si="14"/>
        <v/>
      </c>
    </row>
    <row r="58" spans="1:37">
      <c r="A58" s="422">
        <f t="shared" si="7"/>
        <v>43</v>
      </c>
      <c r="B58" s="340"/>
      <c r="C58" s="340"/>
      <c r="D58" s="340"/>
      <c r="E58" s="340"/>
      <c r="F58" s="340"/>
      <c r="G58" s="340"/>
      <c r="H58" s="340"/>
      <c r="I58" s="340"/>
      <c r="J58" s="340"/>
      <c r="K58" s="340"/>
      <c r="L58" s="340"/>
      <c r="M58" s="340" t="str">
        <f t="shared" si="8"/>
        <v/>
      </c>
      <c r="N58" s="291"/>
      <c r="O58" s="328" t="str">
        <f t="shared" si="9"/>
        <v/>
      </c>
      <c r="P58" s="328" t="str">
        <f t="shared" si="9"/>
        <v/>
      </c>
      <c r="Q58" s="328" t="str">
        <f t="shared" si="9"/>
        <v/>
      </c>
      <c r="R58" s="291"/>
      <c r="S58" s="328" t="str">
        <f t="shared" si="10"/>
        <v/>
      </c>
      <c r="T58" s="328" t="str">
        <f t="shared" si="10"/>
        <v/>
      </c>
      <c r="U58" s="328" t="str">
        <f t="shared" si="10"/>
        <v/>
      </c>
      <c r="V58" s="291"/>
      <c r="W58" s="328" t="str">
        <f t="shared" si="11"/>
        <v/>
      </c>
      <c r="X58" s="328" t="str">
        <f t="shared" si="11"/>
        <v/>
      </c>
      <c r="Y58" s="328" t="str">
        <f t="shared" si="11"/>
        <v/>
      </c>
      <c r="AA58" s="328" t="str">
        <f t="shared" si="12"/>
        <v/>
      </c>
      <c r="AB58" s="328" t="str">
        <f t="shared" si="12"/>
        <v/>
      </c>
      <c r="AC58" s="328" t="str">
        <f t="shared" si="12"/>
        <v/>
      </c>
      <c r="AE58" s="328" t="str">
        <f t="shared" si="13"/>
        <v/>
      </c>
      <c r="AF58" s="328" t="str">
        <f t="shared" si="13"/>
        <v/>
      </c>
      <c r="AG58" s="328" t="str">
        <f t="shared" si="13"/>
        <v/>
      </c>
      <c r="AI58" s="328" t="str">
        <f t="shared" si="14"/>
        <v/>
      </c>
      <c r="AJ58" s="328" t="str">
        <f t="shared" si="14"/>
        <v/>
      </c>
      <c r="AK58" s="328" t="str">
        <f t="shared" si="14"/>
        <v/>
      </c>
    </row>
    <row r="59" spans="1:37">
      <c r="A59" s="422">
        <f t="shared" si="7"/>
        <v>44</v>
      </c>
      <c r="B59" s="340"/>
      <c r="C59" s="340"/>
      <c r="D59" s="340"/>
      <c r="E59" s="340"/>
      <c r="F59" s="340"/>
      <c r="G59" s="340"/>
      <c r="H59" s="340"/>
      <c r="I59" s="340"/>
      <c r="J59" s="340"/>
      <c r="K59" s="340"/>
      <c r="L59" s="340"/>
      <c r="M59" s="340" t="str">
        <f t="shared" si="8"/>
        <v/>
      </c>
      <c r="N59" s="291"/>
      <c r="O59" s="328" t="str">
        <f t="shared" si="9"/>
        <v/>
      </c>
      <c r="P59" s="328" t="str">
        <f t="shared" si="9"/>
        <v/>
      </c>
      <c r="Q59" s="328" t="str">
        <f t="shared" si="9"/>
        <v/>
      </c>
      <c r="R59" s="291"/>
      <c r="S59" s="328" t="str">
        <f t="shared" si="10"/>
        <v/>
      </c>
      <c r="T59" s="328" t="str">
        <f t="shared" si="10"/>
        <v/>
      </c>
      <c r="U59" s="328" t="str">
        <f t="shared" si="10"/>
        <v/>
      </c>
      <c r="V59" s="291"/>
      <c r="W59" s="328" t="str">
        <f t="shared" si="11"/>
        <v/>
      </c>
      <c r="X59" s="328" t="str">
        <f t="shared" si="11"/>
        <v/>
      </c>
      <c r="Y59" s="328" t="str">
        <f t="shared" si="11"/>
        <v/>
      </c>
      <c r="AA59" s="328" t="str">
        <f t="shared" si="12"/>
        <v/>
      </c>
      <c r="AB59" s="328" t="str">
        <f t="shared" si="12"/>
        <v/>
      </c>
      <c r="AC59" s="328" t="str">
        <f t="shared" si="12"/>
        <v/>
      </c>
      <c r="AE59" s="328" t="str">
        <f t="shared" si="13"/>
        <v/>
      </c>
      <c r="AF59" s="328" t="str">
        <f t="shared" si="13"/>
        <v/>
      </c>
      <c r="AG59" s="328" t="str">
        <f t="shared" si="13"/>
        <v/>
      </c>
      <c r="AI59" s="328" t="str">
        <f t="shared" si="14"/>
        <v/>
      </c>
      <c r="AJ59" s="328" t="str">
        <f t="shared" si="14"/>
        <v/>
      </c>
      <c r="AK59" s="328" t="str">
        <f t="shared" si="14"/>
        <v/>
      </c>
    </row>
    <row r="60" spans="1:37">
      <c r="A60" s="422">
        <f t="shared" si="7"/>
        <v>45</v>
      </c>
      <c r="B60" s="340"/>
      <c r="C60" s="340"/>
      <c r="D60" s="340"/>
      <c r="E60" s="340"/>
      <c r="F60" s="340"/>
      <c r="G60" s="340"/>
      <c r="H60" s="340"/>
      <c r="I60" s="340"/>
      <c r="J60" s="340"/>
      <c r="K60" s="340"/>
      <c r="L60" s="340"/>
      <c r="M60" s="340" t="str">
        <f t="shared" si="8"/>
        <v/>
      </c>
      <c r="N60" s="291"/>
      <c r="O60" s="328" t="str">
        <f t="shared" si="9"/>
        <v/>
      </c>
      <c r="P60" s="328" t="str">
        <f t="shared" si="9"/>
        <v/>
      </c>
      <c r="Q60" s="328" t="str">
        <f t="shared" si="9"/>
        <v/>
      </c>
      <c r="R60" s="291"/>
      <c r="S60" s="328" t="str">
        <f t="shared" si="10"/>
        <v/>
      </c>
      <c r="T60" s="328" t="str">
        <f t="shared" si="10"/>
        <v/>
      </c>
      <c r="U60" s="328" t="str">
        <f t="shared" si="10"/>
        <v/>
      </c>
      <c r="V60" s="291"/>
      <c r="W60" s="328" t="str">
        <f t="shared" si="11"/>
        <v/>
      </c>
      <c r="X60" s="328" t="str">
        <f t="shared" si="11"/>
        <v/>
      </c>
      <c r="Y60" s="328" t="str">
        <f t="shared" si="11"/>
        <v/>
      </c>
      <c r="AA60" s="328" t="str">
        <f t="shared" si="12"/>
        <v/>
      </c>
      <c r="AB60" s="328" t="str">
        <f t="shared" si="12"/>
        <v/>
      </c>
      <c r="AC60" s="328" t="str">
        <f t="shared" si="12"/>
        <v/>
      </c>
      <c r="AE60" s="328" t="str">
        <f t="shared" si="13"/>
        <v/>
      </c>
      <c r="AF60" s="328" t="str">
        <f t="shared" si="13"/>
        <v/>
      </c>
      <c r="AG60" s="328" t="str">
        <f t="shared" si="13"/>
        <v/>
      </c>
      <c r="AI60" s="328" t="str">
        <f t="shared" si="14"/>
        <v/>
      </c>
      <c r="AJ60" s="328" t="str">
        <f t="shared" si="14"/>
        <v/>
      </c>
      <c r="AK60" s="328" t="str">
        <f t="shared" si="14"/>
        <v/>
      </c>
    </row>
    <row r="61" spans="1:37">
      <c r="A61" s="422">
        <f t="shared" si="7"/>
        <v>46</v>
      </c>
      <c r="B61" s="340"/>
      <c r="C61" s="340"/>
      <c r="D61" s="340"/>
      <c r="E61" s="340"/>
      <c r="F61" s="340"/>
      <c r="G61" s="340"/>
      <c r="H61" s="340"/>
      <c r="I61" s="340"/>
      <c r="J61" s="340"/>
      <c r="K61" s="340"/>
      <c r="L61" s="340"/>
      <c r="M61" s="340" t="str">
        <f t="shared" si="8"/>
        <v/>
      </c>
      <c r="N61" s="291"/>
      <c r="O61" s="328" t="str">
        <f t="shared" si="9"/>
        <v/>
      </c>
      <c r="P61" s="328" t="str">
        <f t="shared" si="9"/>
        <v/>
      </c>
      <c r="Q61" s="328" t="str">
        <f t="shared" si="9"/>
        <v/>
      </c>
      <c r="R61" s="291"/>
      <c r="S61" s="328" t="str">
        <f t="shared" si="10"/>
        <v/>
      </c>
      <c r="T61" s="328" t="str">
        <f t="shared" si="10"/>
        <v/>
      </c>
      <c r="U61" s="328" t="str">
        <f t="shared" si="10"/>
        <v/>
      </c>
      <c r="V61" s="291"/>
      <c r="W61" s="328" t="str">
        <f t="shared" si="11"/>
        <v/>
      </c>
      <c r="X61" s="328" t="str">
        <f t="shared" si="11"/>
        <v/>
      </c>
      <c r="Y61" s="328" t="str">
        <f t="shared" si="11"/>
        <v/>
      </c>
      <c r="AA61" s="328" t="str">
        <f t="shared" si="12"/>
        <v/>
      </c>
      <c r="AB61" s="328" t="str">
        <f t="shared" si="12"/>
        <v/>
      </c>
      <c r="AC61" s="328" t="str">
        <f t="shared" si="12"/>
        <v/>
      </c>
      <c r="AE61" s="328" t="str">
        <f t="shared" si="13"/>
        <v/>
      </c>
      <c r="AF61" s="328" t="str">
        <f t="shared" si="13"/>
        <v/>
      </c>
      <c r="AG61" s="328" t="str">
        <f t="shared" si="13"/>
        <v/>
      </c>
      <c r="AI61" s="328" t="str">
        <f t="shared" si="14"/>
        <v/>
      </c>
      <c r="AJ61" s="328" t="str">
        <f t="shared" si="14"/>
        <v/>
      </c>
      <c r="AK61" s="328" t="str">
        <f t="shared" si="14"/>
        <v/>
      </c>
    </row>
    <row r="62" spans="1:37">
      <c r="A62" s="422">
        <f t="shared" si="7"/>
        <v>47</v>
      </c>
      <c r="B62" s="340"/>
      <c r="C62" s="340"/>
      <c r="D62" s="340"/>
      <c r="E62" s="340"/>
      <c r="F62" s="340"/>
      <c r="G62" s="340"/>
      <c r="H62" s="340"/>
      <c r="I62" s="340"/>
      <c r="J62" s="340"/>
      <c r="K62" s="340"/>
      <c r="L62" s="340"/>
      <c r="M62" s="340" t="str">
        <f t="shared" si="8"/>
        <v/>
      </c>
      <c r="N62" s="291"/>
      <c r="O62" s="328" t="str">
        <f t="shared" si="9"/>
        <v/>
      </c>
      <c r="P62" s="328" t="str">
        <f t="shared" si="9"/>
        <v/>
      </c>
      <c r="Q62" s="328" t="str">
        <f t="shared" si="9"/>
        <v/>
      </c>
      <c r="R62" s="291"/>
      <c r="S62" s="328" t="str">
        <f t="shared" si="10"/>
        <v/>
      </c>
      <c r="T62" s="328" t="str">
        <f t="shared" si="10"/>
        <v/>
      </c>
      <c r="U62" s="328" t="str">
        <f t="shared" si="10"/>
        <v/>
      </c>
      <c r="V62" s="291"/>
      <c r="W62" s="328" t="str">
        <f t="shared" si="11"/>
        <v/>
      </c>
      <c r="X62" s="328" t="str">
        <f t="shared" si="11"/>
        <v/>
      </c>
      <c r="Y62" s="328" t="str">
        <f t="shared" si="11"/>
        <v/>
      </c>
      <c r="AA62" s="328" t="str">
        <f t="shared" si="12"/>
        <v/>
      </c>
      <c r="AB62" s="328" t="str">
        <f t="shared" si="12"/>
        <v/>
      </c>
      <c r="AC62" s="328" t="str">
        <f t="shared" si="12"/>
        <v/>
      </c>
      <c r="AE62" s="328" t="str">
        <f t="shared" si="13"/>
        <v/>
      </c>
      <c r="AF62" s="328" t="str">
        <f t="shared" si="13"/>
        <v/>
      </c>
      <c r="AG62" s="328" t="str">
        <f t="shared" si="13"/>
        <v/>
      </c>
      <c r="AI62" s="328" t="str">
        <f t="shared" si="14"/>
        <v/>
      </c>
      <c r="AJ62" s="328" t="str">
        <f t="shared" si="14"/>
        <v/>
      </c>
      <c r="AK62" s="328" t="str">
        <f t="shared" si="14"/>
        <v/>
      </c>
    </row>
    <row r="66" spans="1:32">
      <c r="A66" s="291"/>
      <c r="N66" s="328"/>
      <c r="O66" s="328"/>
      <c r="P66" s="328"/>
      <c r="Q66" s="328"/>
      <c r="R66" s="328"/>
      <c r="S66" s="328"/>
      <c r="T66" s="328"/>
      <c r="U66" s="328"/>
      <c r="V66" s="328"/>
      <c r="W66" s="328"/>
      <c r="X66" s="328"/>
      <c r="Y66" s="328"/>
      <c r="Z66" s="328"/>
      <c r="AA66" s="328"/>
      <c r="AB66" s="328"/>
      <c r="AC66" s="328"/>
      <c r="AD66" s="328"/>
      <c r="AE66" s="328"/>
      <c r="AF66" s="328"/>
    </row>
    <row r="67" spans="1:32" ht="20.25">
      <c r="B67" s="448" t="s">
        <v>609</v>
      </c>
    </row>
    <row r="69" spans="1:32" ht="15.75">
      <c r="B69" s="775" t="s">
        <v>224</v>
      </c>
      <c r="C69" s="775"/>
      <c r="D69" s="775"/>
      <c r="E69" s="775"/>
      <c r="F69" s="775"/>
      <c r="G69" s="775"/>
      <c r="H69" s="775"/>
      <c r="I69" s="775"/>
      <c r="J69" s="775"/>
      <c r="K69" s="775"/>
    </row>
    <row r="70" spans="1:32">
      <c r="B70" s="449"/>
      <c r="C70" s="449"/>
      <c r="D70" s="449"/>
      <c r="E70" s="449"/>
      <c r="F70" s="449"/>
      <c r="G70" s="449"/>
      <c r="H70" s="449"/>
      <c r="I70" s="449"/>
      <c r="J70" s="449"/>
      <c r="K70" s="449"/>
    </row>
    <row r="71" spans="1:32">
      <c r="G71" s="762" t="s">
        <v>39</v>
      </c>
      <c r="H71" s="762"/>
      <c r="I71" s="762"/>
      <c r="J71" s="762"/>
      <c r="K71" s="776" t="s">
        <v>403</v>
      </c>
      <c r="L71" s="450"/>
      <c r="N71" s="328"/>
      <c r="Q71" s="299"/>
      <c r="R71" s="301"/>
      <c r="S71" s="301"/>
      <c r="T71" s="301"/>
      <c r="W71" s="301"/>
      <c r="X71" s="301"/>
      <c r="Z71" s="299"/>
    </row>
    <row r="72" spans="1:32">
      <c r="G72" s="762">
        <v>0</v>
      </c>
      <c r="H72" s="762"/>
      <c r="I72" s="762">
        <v>1</v>
      </c>
      <c r="J72" s="762"/>
      <c r="K72" s="777"/>
      <c r="L72" s="450"/>
      <c r="N72" s="328"/>
      <c r="Q72" s="299"/>
      <c r="R72" s="301"/>
      <c r="S72" s="301"/>
      <c r="T72" s="301"/>
      <c r="W72" s="301"/>
      <c r="X72" s="301"/>
      <c r="Z72" s="299"/>
    </row>
    <row r="73" spans="1:32">
      <c r="B73" s="778" t="s">
        <v>134</v>
      </c>
      <c r="C73" s="451">
        <v>0</v>
      </c>
      <c r="D73" s="452" t="s">
        <v>338</v>
      </c>
      <c r="E73" s="453"/>
      <c r="F73" s="454"/>
      <c r="G73" s="779">
        <f>COUNTIF($O$14:$Q$62,"=a")</f>
        <v>0</v>
      </c>
      <c r="H73" s="780"/>
      <c r="I73" s="779">
        <f>COUNTIF($O$14:$Q$62,"=c")</f>
        <v>0</v>
      </c>
      <c r="J73" s="780"/>
      <c r="K73" s="455">
        <f>SUM(G73:J73)</f>
        <v>0</v>
      </c>
      <c r="N73" s="328"/>
      <c r="Q73" s="299"/>
      <c r="R73" s="301"/>
      <c r="S73" s="301"/>
      <c r="T73" s="301"/>
      <c r="W73" s="301"/>
      <c r="X73" s="301"/>
      <c r="Z73" s="299"/>
    </row>
    <row r="74" spans="1:32">
      <c r="B74" s="778"/>
      <c r="C74" s="456"/>
      <c r="D74" s="457" t="s">
        <v>402</v>
      </c>
      <c r="E74" s="329"/>
      <c r="F74" s="458"/>
      <c r="G74" s="781" t="str">
        <f>IF(K77&lt;&gt;0,K73/K77*G77,"")</f>
        <v/>
      </c>
      <c r="H74" s="782"/>
      <c r="I74" s="781" t="str">
        <f>IF(K77&lt;&gt;0,K73/K77*I77,"")</f>
        <v/>
      </c>
      <c r="J74" s="782"/>
      <c r="K74" s="459" t="str">
        <f>IF(G74&lt;&gt;"",G74+I74,"")</f>
        <v/>
      </c>
      <c r="L74" s="460"/>
      <c r="N74" s="328"/>
      <c r="Q74" s="299"/>
      <c r="R74" s="301"/>
      <c r="S74" s="301"/>
      <c r="T74" s="301"/>
      <c r="W74" s="301"/>
      <c r="X74" s="301"/>
      <c r="Z74" s="299"/>
    </row>
    <row r="75" spans="1:32">
      <c r="B75" s="778"/>
      <c r="C75" s="451">
        <v>1</v>
      </c>
      <c r="D75" s="452" t="s">
        <v>338</v>
      </c>
      <c r="E75" s="453"/>
      <c r="F75" s="454"/>
      <c r="G75" s="779">
        <f>COUNTIF($O$14:$Q$62,"=b")</f>
        <v>0</v>
      </c>
      <c r="H75" s="780"/>
      <c r="I75" s="779">
        <f>COUNTIF($O$14:$Q$62,"=d")</f>
        <v>0</v>
      </c>
      <c r="J75" s="780"/>
      <c r="K75" s="455">
        <f>SUM(G75:J75)</f>
        <v>0</v>
      </c>
      <c r="N75" s="328"/>
      <c r="Q75" s="299"/>
      <c r="R75" s="301"/>
      <c r="S75" s="301"/>
      <c r="T75" s="301"/>
      <c r="W75" s="301"/>
      <c r="X75" s="301"/>
      <c r="Z75" s="299"/>
    </row>
    <row r="76" spans="1:32">
      <c r="B76" s="778"/>
      <c r="C76" s="456"/>
      <c r="D76" s="457" t="s">
        <v>402</v>
      </c>
      <c r="E76" s="329"/>
      <c r="F76" s="458"/>
      <c r="G76" s="781" t="str">
        <f>IF(K77&lt;&gt;0,K75/K77*G77,"")</f>
        <v/>
      </c>
      <c r="H76" s="782"/>
      <c r="I76" s="781" t="str">
        <f>IF(K77&lt;&gt;0,K75/K77*I77,"")</f>
        <v/>
      </c>
      <c r="J76" s="782"/>
      <c r="K76" s="459" t="str">
        <f>IF(G76&lt;&gt;"",G76+I76,"")</f>
        <v/>
      </c>
      <c r="L76" s="460"/>
      <c r="N76" s="328"/>
      <c r="Q76" s="299"/>
      <c r="R76" s="301"/>
      <c r="S76" s="301"/>
      <c r="T76" s="301"/>
      <c r="W76" s="301"/>
      <c r="X76" s="301"/>
      <c r="Z76" s="299"/>
    </row>
    <row r="77" spans="1:32">
      <c r="B77" s="783" t="s">
        <v>403</v>
      </c>
      <c r="C77" s="784"/>
      <c r="D77" s="452" t="s">
        <v>338</v>
      </c>
      <c r="E77" s="453"/>
      <c r="F77" s="454"/>
      <c r="G77" s="779">
        <f>G73+G75</f>
        <v>0</v>
      </c>
      <c r="H77" s="780"/>
      <c r="I77" s="779">
        <f>I73+I75</f>
        <v>0</v>
      </c>
      <c r="J77" s="780"/>
      <c r="K77" s="455">
        <f>K73+K75</f>
        <v>0</v>
      </c>
      <c r="N77" s="461"/>
      <c r="O77" s="299"/>
      <c r="R77" s="301"/>
      <c r="Z77" s="299"/>
    </row>
    <row r="78" spans="1:32">
      <c r="B78" s="785"/>
      <c r="C78" s="786"/>
      <c r="D78" s="457" t="s">
        <v>402</v>
      </c>
      <c r="E78" s="329"/>
      <c r="F78" s="458"/>
      <c r="G78" s="781" t="str">
        <f>IF(G74&lt;&gt;"",G74+G76,"")</f>
        <v/>
      </c>
      <c r="H78" s="782"/>
      <c r="I78" s="781" t="str">
        <f>IF(I74&lt;&gt;"",I74+I76,"")</f>
        <v/>
      </c>
      <c r="J78" s="782"/>
      <c r="K78" s="459" t="str">
        <f>IF(K74&lt;&gt;"",K74+K76,"")</f>
        <v/>
      </c>
      <c r="L78" s="460"/>
      <c r="N78" s="328"/>
      <c r="O78" s="299"/>
      <c r="R78" s="301"/>
      <c r="Z78" s="299"/>
    </row>
    <row r="81" spans="2:26" ht="15.75">
      <c r="B81" s="775" t="s">
        <v>225</v>
      </c>
      <c r="C81" s="775"/>
      <c r="D81" s="775"/>
      <c r="E81" s="775"/>
      <c r="F81" s="775"/>
      <c r="G81" s="775"/>
      <c r="H81" s="775"/>
      <c r="I81" s="775"/>
      <c r="J81" s="775"/>
      <c r="K81" s="775"/>
    </row>
    <row r="82" spans="2:26">
      <c r="B82" s="449"/>
      <c r="C82" s="449"/>
      <c r="D82" s="449"/>
      <c r="E82" s="449"/>
      <c r="F82" s="449"/>
      <c r="G82" s="449"/>
      <c r="H82" s="449"/>
      <c r="I82" s="449"/>
      <c r="J82" s="449"/>
      <c r="K82" s="449"/>
    </row>
    <row r="83" spans="2:26">
      <c r="G83" s="762" t="s">
        <v>640</v>
      </c>
      <c r="H83" s="762"/>
      <c r="I83" s="762"/>
      <c r="J83" s="762"/>
      <c r="K83" s="776" t="s">
        <v>403</v>
      </c>
      <c r="L83" s="450"/>
      <c r="N83" s="328"/>
      <c r="O83" s="299"/>
      <c r="R83" s="301"/>
      <c r="Z83" s="299"/>
    </row>
    <row r="84" spans="2:26">
      <c r="G84" s="762">
        <v>0</v>
      </c>
      <c r="H84" s="762"/>
      <c r="I84" s="762">
        <v>1</v>
      </c>
      <c r="J84" s="762"/>
      <c r="K84" s="777"/>
      <c r="L84" s="450"/>
      <c r="N84" s="328"/>
      <c r="O84" s="299"/>
      <c r="R84" s="301"/>
      <c r="Z84" s="299"/>
    </row>
    <row r="85" spans="2:26">
      <c r="B85" s="778" t="s">
        <v>39</v>
      </c>
      <c r="C85" s="451">
        <v>0</v>
      </c>
      <c r="D85" s="452" t="s">
        <v>338</v>
      </c>
      <c r="E85" s="453"/>
      <c r="F85" s="454"/>
      <c r="G85" s="779">
        <f>COUNTIF($S$14:$U$62,"=a")</f>
        <v>0</v>
      </c>
      <c r="H85" s="780"/>
      <c r="I85" s="779">
        <f>COUNTIF($S$14:$U$62,"=c")</f>
        <v>0</v>
      </c>
      <c r="J85" s="780"/>
      <c r="K85" s="455">
        <f>SUM(G85:J85)</f>
        <v>0</v>
      </c>
      <c r="N85" s="328"/>
      <c r="O85" s="299"/>
      <c r="R85" s="301"/>
      <c r="Z85" s="299"/>
    </row>
    <row r="86" spans="2:26">
      <c r="B86" s="778"/>
      <c r="C86" s="456"/>
      <c r="D86" s="457" t="s">
        <v>402</v>
      </c>
      <c r="E86" s="329"/>
      <c r="F86" s="458"/>
      <c r="G86" s="781" t="str">
        <f>IF(K89&lt;&gt;0,K85/K89*G89,"")</f>
        <v/>
      </c>
      <c r="H86" s="782"/>
      <c r="I86" s="781" t="str">
        <f>IF(K89&lt;&gt;0,K85/K89*I89,"")</f>
        <v/>
      </c>
      <c r="J86" s="782"/>
      <c r="K86" s="459" t="str">
        <f>IF(G86&lt;&gt;"",G86+I86,"")</f>
        <v/>
      </c>
      <c r="L86" s="460"/>
      <c r="N86" s="328"/>
      <c r="O86" s="299"/>
      <c r="R86" s="301"/>
      <c r="Z86" s="299"/>
    </row>
    <row r="87" spans="2:26">
      <c r="B87" s="778"/>
      <c r="C87" s="451">
        <v>1</v>
      </c>
      <c r="D87" s="452" t="s">
        <v>338</v>
      </c>
      <c r="E87" s="453"/>
      <c r="F87" s="454"/>
      <c r="G87" s="779">
        <f>COUNTIF($S$14:$U$62,"=b")</f>
        <v>0</v>
      </c>
      <c r="H87" s="780"/>
      <c r="I87" s="779">
        <f>COUNTIF($S$14:$U$62,"=d")</f>
        <v>0</v>
      </c>
      <c r="J87" s="780"/>
      <c r="K87" s="455">
        <f>SUM(G87:J87)</f>
        <v>0</v>
      </c>
      <c r="N87" s="328"/>
      <c r="O87" s="299"/>
      <c r="R87" s="301"/>
      <c r="Z87" s="299"/>
    </row>
    <row r="88" spans="2:26">
      <c r="B88" s="778"/>
      <c r="C88" s="456"/>
      <c r="D88" s="457" t="s">
        <v>402</v>
      </c>
      <c r="E88" s="329"/>
      <c r="F88" s="458"/>
      <c r="G88" s="781" t="str">
        <f>IF(K89&lt;&gt;0,K87/K89*G89,"")</f>
        <v/>
      </c>
      <c r="H88" s="782"/>
      <c r="I88" s="781" t="str">
        <f>IF(K89&lt;&gt;0,K87/K89*I89,"")</f>
        <v/>
      </c>
      <c r="J88" s="782"/>
      <c r="K88" s="459" t="str">
        <f>IF(G88&lt;&gt;"",G88+I88,"")</f>
        <v/>
      </c>
      <c r="L88" s="460"/>
      <c r="N88" s="328"/>
      <c r="O88" s="299"/>
      <c r="R88" s="301"/>
      <c r="Z88" s="299"/>
    </row>
    <row r="89" spans="2:26">
      <c r="B89" s="783" t="s">
        <v>403</v>
      </c>
      <c r="C89" s="784"/>
      <c r="D89" s="452" t="s">
        <v>338</v>
      </c>
      <c r="E89" s="453"/>
      <c r="F89" s="454"/>
      <c r="G89" s="779">
        <f>G85+G87</f>
        <v>0</v>
      </c>
      <c r="H89" s="780"/>
      <c r="I89" s="779">
        <f>I85+I87</f>
        <v>0</v>
      </c>
      <c r="J89" s="780"/>
      <c r="K89" s="455">
        <f>K85+K87</f>
        <v>0</v>
      </c>
      <c r="N89" s="328"/>
      <c r="O89" s="299"/>
      <c r="R89" s="301"/>
      <c r="Z89" s="299"/>
    </row>
    <row r="90" spans="2:26">
      <c r="B90" s="785"/>
      <c r="C90" s="786"/>
      <c r="D90" s="457" t="s">
        <v>402</v>
      </c>
      <c r="E90" s="329"/>
      <c r="F90" s="458"/>
      <c r="G90" s="781" t="str">
        <f>IF(G86&lt;&gt;"",G86+G88,"")</f>
        <v/>
      </c>
      <c r="H90" s="782"/>
      <c r="I90" s="781" t="str">
        <f>IF(I86&lt;&gt;"",I86+I88,"")</f>
        <v/>
      </c>
      <c r="J90" s="782"/>
      <c r="K90" s="459" t="str">
        <f>IF(K86&lt;&gt;"",K86+K88,"")</f>
        <v/>
      </c>
      <c r="L90" s="460"/>
      <c r="N90" s="328"/>
      <c r="O90" s="299"/>
      <c r="R90" s="301"/>
      <c r="Z90" s="299"/>
    </row>
    <row r="94" spans="2:26" ht="15.75">
      <c r="B94" s="775" t="s">
        <v>226</v>
      </c>
      <c r="C94" s="775"/>
      <c r="D94" s="775"/>
      <c r="E94" s="775"/>
      <c r="F94" s="775"/>
      <c r="G94" s="775"/>
      <c r="H94" s="775"/>
      <c r="I94" s="775"/>
      <c r="J94" s="775"/>
      <c r="K94" s="775"/>
    </row>
    <row r="95" spans="2:26">
      <c r="B95" s="449"/>
      <c r="C95" s="449"/>
      <c r="D95" s="449"/>
      <c r="E95" s="449"/>
      <c r="F95" s="449"/>
      <c r="G95" s="449"/>
      <c r="H95" s="449"/>
      <c r="I95" s="449"/>
      <c r="J95" s="449"/>
      <c r="K95" s="449"/>
    </row>
    <row r="96" spans="2:26">
      <c r="G96" s="762" t="s">
        <v>640</v>
      </c>
      <c r="H96" s="762"/>
      <c r="I96" s="762"/>
      <c r="J96" s="762"/>
      <c r="K96" s="776" t="s">
        <v>403</v>
      </c>
      <c r="L96" s="450"/>
      <c r="N96" s="328"/>
      <c r="O96" s="299"/>
      <c r="R96" s="301"/>
      <c r="Z96" s="299"/>
    </row>
    <row r="97" spans="2:26">
      <c r="G97" s="762">
        <v>0</v>
      </c>
      <c r="H97" s="762"/>
      <c r="I97" s="762">
        <v>1</v>
      </c>
      <c r="J97" s="762"/>
      <c r="K97" s="777"/>
      <c r="L97" s="450"/>
      <c r="N97" s="328"/>
      <c r="O97" s="299"/>
      <c r="R97" s="301"/>
      <c r="Z97" s="299"/>
    </row>
    <row r="98" spans="2:26">
      <c r="B98" s="778" t="s">
        <v>134</v>
      </c>
      <c r="C98" s="451">
        <v>0</v>
      </c>
      <c r="D98" s="452" t="s">
        <v>338</v>
      </c>
      <c r="E98" s="453"/>
      <c r="F98" s="454"/>
      <c r="G98" s="779">
        <f>COUNTIF($W$14:$Y$62,"=a")</f>
        <v>0</v>
      </c>
      <c r="H98" s="780"/>
      <c r="I98" s="779">
        <f>COUNTIF($W$14:$Y$62,"=c")</f>
        <v>0</v>
      </c>
      <c r="J98" s="780"/>
      <c r="K98" s="455">
        <f>SUM(G98:J98)</f>
        <v>0</v>
      </c>
      <c r="N98" s="328"/>
      <c r="O98" s="299"/>
      <c r="R98" s="301"/>
      <c r="Z98" s="299"/>
    </row>
    <row r="99" spans="2:26">
      <c r="B99" s="778"/>
      <c r="C99" s="456"/>
      <c r="D99" s="457" t="s">
        <v>402</v>
      </c>
      <c r="E99" s="329"/>
      <c r="F99" s="458"/>
      <c r="G99" s="781" t="str">
        <f>IF(K102&lt;&gt;0,K98/K102*G102,"")</f>
        <v/>
      </c>
      <c r="H99" s="782"/>
      <c r="I99" s="781" t="str">
        <f>IF(K102&lt;&gt;0,K98/K102*I102,"")</f>
        <v/>
      </c>
      <c r="J99" s="782"/>
      <c r="K99" s="459" t="str">
        <f>IF(G99&lt;&gt;"",G99+I99,"")</f>
        <v/>
      </c>
      <c r="L99" s="460"/>
      <c r="N99" s="328"/>
      <c r="O99" s="299"/>
      <c r="R99" s="301"/>
      <c r="Z99" s="299"/>
    </row>
    <row r="100" spans="2:26">
      <c r="B100" s="778"/>
      <c r="C100" s="451">
        <v>1</v>
      </c>
      <c r="D100" s="452" t="s">
        <v>338</v>
      </c>
      <c r="E100" s="453"/>
      <c r="F100" s="454"/>
      <c r="G100" s="779">
        <f>COUNTIF($W$14:$Y$62,"=b")</f>
        <v>0</v>
      </c>
      <c r="H100" s="780"/>
      <c r="I100" s="779">
        <f>COUNTIF($W$14:$Y$62,"=d")</f>
        <v>0</v>
      </c>
      <c r="J100" s="780"/>
      <c r="K100" s="455">
        <f>SUM(G100:J100)</f>
        <v>0</v>
      </c>
      <c r="N100" s="328"/>
      <c r="O100" s="299"/>
      <c r="R100" s="301"/>
      <c r="Z100" s="299"/>
    </row>
    <row r="101" spans="2:26">
      <c r="B101" s="778"/>
      <c r="C101" s="456"/>
      <c r="D101" s="457" t="s">
        <v>402</v>
      </c>
      <c r="E101" s="329"/>
      <c r="F101" s="458"/>
      <c r="G101" s="781" t="str">
        <f>IF(K102&lt;&gt;0,K100/K102*G102,"")</f>
        <v/>
      </c>
      <c r="H101" s="782"/>
      <c r="I101" s="781" t="str">
        <f>IF(K102&lt;&gt;0,K100/K102*I102,"")</f>
        <v/>
      </c>
      <c r="J101" s="782"/>
      <c r="K101" s="459" t="str">
        <f>IF(G101&lt;&gt;"",G101+I101,"")</f>
        <v/>
      </c>
      <c r="L101" s="460"/>
      <c r="N101" s="328"/>
      <c r="O101" s="299"/>
      <c r="R101" s="301"/>
      <c r="Z101" s="299"/>
    </row>
    <row r="102" spans="2:26">
      <c r="B102" s="783" t="s">
        <v>403</v>
      </c>
      <c r="C102" s="784"/>
      <c r="D102" s="452" t="s">
        <v>338</v>
      </c>
      <c r="E102" s="453"/>
      <c r="F102" s="454"/>
      <c r="G102" s="779">
        <f>G98+G100</f>
        <v>0</v>
      </c>
      <c r="H102" s="780"/>
      <c r="I102" s="779">
        <f>I98+I100</f>
        <v>0</v>
      </c>
      <c r="J102" s="780"/>
      <c r="K102" s="455">
        <f>K98+K100</f>
        <v>0</v>
      </c>
      <c r="N102" s="328"/>
      <c r="O102" s="299"/>
      <c r="R102" s="301"/>
      <c r="Z102" s="299"/>
    </row>
    <row r="103" spans="2:26">
      <c r="B103" s="785"/>
      <c r="C103" s="786"/>
      <c r="D103" s="457" t="s">
        <v>402</v>
      </c>
      <c r="E103" s="329"/>
      <c r="F103" s="458"/>
      <c r="G103" s="781" t="str">
        <f>IF(G99&lt;&gt;"",G99+G101,"")</f>
        <v/>
      </c>
      <c r="H103" s="782"/>
      <c r="I103" s="781" t="str">
        <f>IF(I99&lt;&gt;"",I99+I101,"")</f>
        <v/>
      </c>
      <c r="J103" s="782"/>
      <c r="K103" s="459" t="str">
        <f>IF(K99&lt;&gt;"",K99+K101,"")</f>
        <v/>
      </c>
      <c r="L103" s="460"/>
      <c r="N103" s="328"/>
      <c r="O103" s="299"/>
      <c r="R103" s="301"/>
      <c r="Z103" s="299"/>
    </row>
    <row r="106" spans="2:26">
      <c r="B106" s="787" t="s">
        <v>229</v>
      </c>
      <c r="C106" s="788"/>
      <c r="D106" s="762" t="s">
        <v>134</v>
      </c>
      <c r="E106" s="762"/>
      <c r="F106" s="762" t="s">
        <v>39</v>
      </c>
      <c r="G106" s="762"/>
      <c r="H106" s="762" t="s">
        <v>640</v>
      </c>
      <c r="I106" s="762"/>
      <c r="K106" s="291"/>
      <c r="L106" s="291"/>
    </row>
    <row r="107" spans="2:26">
      <c r="B107" s="762" t="s">
        <v>134</v>
      </c>
      <c r="C107" s="762"/>
      <c r="D107" s="789" t="s">
        <v>306</v>
      </c>
      <c r="E107" s="692"/>
      <c r="F107" s="790" t="str">
        <f>IF(G77&lt;&gt;0,((G73+I75)/K77-(G74+I76)/K78)/(1-(G74+I76)/K78),"")</f>
        <v/>
      </c>
      <c r="G107" s="791"/>
      <c r="H107" s="790" t="str">
        <f>IF(G102&lt;&gt;0,((G98+I100)/K102-(G99+I101)/K103)/(1-(G99+I101)/K103),"")</f>
        <v/>
      </c>
      <c r="I107" s="791"/>
      <c r="K107" s="291"/>
      <c r="L107" s="291"/>
    </row>
    <row r="108" spans="2:26">
      <c r="B108" s="762" t="s">
        <v>39</v>
      </c>
      <c r="C108" s="762"/>
      <c r="D108" s="790" t="str">
        <f>F107</f>
        <v/>
      </c>
      <c r="E108" s="791"/>
      <c r="F108" s="789" t="s">
        <v>306</v>
      </c>
      <c r="G108" s="692"/>
      <c r="H108" s="790" t="str">
        <f>IF(G89&lt;&gt;0,((G85+I87)/K89-(G86+I88)/K90)/(1-(G86+I88)/K90),"")</f>
        <v/>
      </c>
      <c r="I108" s="791"/>
      <c r="K108" s="291"/>
      <c r="L108" s="291"/>
    </row>
    <row r="109" spans="2:26">
      <c r="B109" s="762" t="s">
        <v>640</v>
      </c>
      <c r="C109" s="762"/>
      <c r="D109" s="790" t="str">
        <f>H107</f>
        <v/>
      </c>
      <c r="E109" s="791"/>
      <c r="F109" s="790" t="str">
        <f>H108</f>
        <v/>
      </c>
      <c r="G109" s="791"/>
      <c r="H109" s="789" t="s">
        <v>306</v>
      </c>
      <c r="I109" s="692"/>
    </row>
    <row r="112" spans="2:26">
      <c r="B112" s="762" t="s">
        <v>610</v>
      </c>
      <c r="C112" s="762"/>
      <c r="D112" s="762"/>
      <c r="E112" s="762"/>
      <c r="F112" s="291"/>
      <c r="G112" s="291"/>
      <c r="H112" s="291"/>
      <c r="I112" s="291"/>
      <c r="J112" s="291"/>
      <c r="K112" s="291"/>
      <c r="L112" s="291"/>
    </row>
    <row r="113" spans="2:11">
      <c r="B113" s="340" t="s">
        <v>611</v>
      </c>
      <c r="C113" s="690" t="str">
        <f>IF(F107&lt;&gt;"",IF(F107&gt;0.75,"Good Agreement",IF(F107&lt;0.4,"Poor Agreement","Some Agreement")),"")</f>
        <v/>
      </c>
      <c r="D113" s="691"/>
      <c r="E113" s="692"/>
      <c r="G113" s="291" t="s">
        <v>163</v>
      </c>
    </row>
    <row r="114" spans="2:11">
      <c r="B114" s="340" t="s">
        <v>612</v>
      </c>
      <c r="C114" s="690" t="str">
        <f>IF(H108&lt;&gt;"",IF(H107&gt;0.75,"Good Agreement",IF(H107&lt;0.4,"Poor Agreement","Some Agreement")),"")</f>
        <v/>
      </c>
      <c r="D114" s="691"/>
      <c r="E114" s="692"/>
      <c r="G114" s="291" t="s">
        <v>165</v>
      </c>
    </row>
    <row r="115" spans="2:11">
      <c r="B115" s="340" t="s">
        <v>613</v>
      </c>
      <c r="C115" s="690" t="str">
        <f>IF(F109&lt;&gt;"",IF(F109&gt;0.75,"Good Agreement",IF(F109&lt;0.4,"Poor Agreement","Some Agreement")),"")</f>
        <v/>
      </c>
      <c r="D115" s="691"/>
      <c r="E115" s="692"/>
      <c r="G115" s="291" t="s">
        <v>164</v>
      </c>
    </row>
    <row r="118" spans="2:11" ht="15.75">
      <c r="B118" s="775" t="s">
        <v>167</v>
      </c>
      <c r="C118" s="775"/>
      <c r="D118" s="775"/>
      <c r="E118" s="775"/>
      <c r="F118" s="775"/>
      <c r="G118" s="775"/>
      <c r="H118" s="775"/>
      <c r="I118" s="775"/>
      <c r="J118" s="775"/>
      <c r="K118" s="775"/>
    </row>
    <row r="119" spans="2:11">
      <c r="B119" s="449"/>
      <c r="C119" s="449"/>
      <c r="D119" s="449"/>
      <c r="E119" s="449"/>
      <c r="F119" s="449"/>
      <c r="G119" s="449"/>
      <c r="H119" s="449"/>
      <c r="I119" s="449"/>
      <c r="J119" s="449"/>
      <c r="K119" s="449"/>
    </row>
    <row r="120" spans="2:11">
      <c r="G120" s="762" t="s">
        <v>166</v>
      </c>
      <c r="H120" s="762"/>
      <c r="I120" s="762"/>
      <c r="J120" s="762"/>
      <c r="K120" s="776" t="s">
        <v>403</v>
      </c>
    </row>
    <row r="121" spans="2:11">
      <c r="G121" s="762">
        <v>0</v>
      </c>
      <c r="H121" s="762"/>
      <c r="I121" s="762">
        <v>1</v>
      </c>
      <c r="J121" s="762"/>
      <c r="K121" s="777"/>
    </row>
    <row r="122" spans="2:11">
      <c r="B122" s="778" t="s">
        <v>134</v>
      </c>
      <c r="C122" s="451">
        <v>0</v>
      </c>
      <c r="D122" s="452" t="s">
        <v>338</v>
      </c>
      <c r="E122" s="453"/>
      <c r="F122" s="454"/>
      <c r="G122" s="779">
        <f>COUNTIF($AA$14:$AC$62,"=a")</f>
        <v>0</v>
      </c>
      <c r="H122" s="780"/>
      <c r="I122" s="779">
        <f>COUNTIF($AA$14:$AC$62,"=c")</f>
        <v>0</v>
      </c>
      <c r="J122" s="780"/>
      <c r="K122" s="455">
        <f>SUM(G122:J122)</f>
        <v>0</v>
      </c>
    </row>
    <row r="123" spans="2:11">
      <c r="B123" s="778"/>
      <c r="C123" s="456"/>
      <c r="D123" s="457" t="s">
        <v>402</v>
      </c>
      <c r="E123" s="329"/>
      <c r="F123" s="458"/>
      <c r="G123" s="781" t="str">
        <f>IF(K126&lt;&gt;0,K122/K126*G126,"")</f>
        <v/>
      </c>
      <c r="H123" s="782"/>
      <c r="I123" s="781" t="str">
        <f>IF(K126&lt;&gt;0,K122/K126*I126,"")</f>
        <v/>
      </c>
      <c r="J123" s="782"/>
      <c r="K123" s="459" t="str">
        <f>IF(G123&lt;&gt;"",G123+I123,"")</f>
        <v/>
      </c>
    </row>
    <row r="124" spans="2:11">
      <c r="B124" s="778"/>
      <c r="C124" s="451">
        <v>1</v>
      </c>
      <c r="D124" s="452" t="s">
        <v>338</v>
      </c>
      <c r="E124" s="453"/>
      <c r="F124" s="454"/>
      <c r="G124" s="779">
        <f>COUNTIF($AA$14:$AC$62,"=b")</f>
        <v>0</v>
      </c>
      <c r="H124" s="780"/>
      <c r="I124" s="779">
        <f>COUNTIF($AA$14:$AC$62,"=d")</f>
        <v>0</v>
      </c>
      <c r="J124" s="780"/>
      <c r="K124" s="455">
        <f>SUM(G124:J124)</f>
        <v>0</v>
      </c>
    </row>
    <row r="125" spans="2:11">
      <c r="B125" s="778"/>
      <c r="C125" s="456"/>
      <c r="D125" s="457" t="s">
        <v>402</v>
      </c>
      <c r="E125" s="329"/>
      <c r="F125" s="458"/>
      <c r="G125" s="781" t="str">
        <f>IF(K126&lt;&gt;0,K124/K126*G126,"")</f>
        <v/>
      </c>
      <c r="H125" s="782"/>
      <c r="I125" s="781" t="str">
        <f>IF(K126&lt;&gt;0,K124/K126*I126,"")</f>
        <v/>
      </c>
      <c r="J125" s="782"/>
      <c r="K125" s="459" t="str">
        <f>IF(G125&lt;&gt;"",G125+I125,"")</f>
        <v/>
      </c>
    </row>
    <row r="126" spans="2:11">
      <c r="B126" s="783" t="s">
        <v>403</v>
      </c>
      <c r="C126" s="784"/>
      <c r="D126" s="452" t="s">
        <v>338</v>
      </c>
      <c r="E126" s="453"/>
      <c r="F126" s="454"/>
      <c r="G126" s="779">
        <f>G122+G124</f>
        <v>0</v>
      </c>
      <c r="H126" s="780"/>
      <c r="I126" s="779">
        <f>I122+I124</f>
        <v>0</v>
      </c>
      <c r="J126" s="780"/>
      <c r="K126" s="455">
        <f>K122+K124</f>
        <v>0</v>
      </c>
    </row>
    <row r="127" spans="2:11">
      <c r="B127" s="785"/>
      <c r="C127" s="786"/>
      <c r="D127" s="457" t="s">
        <v>402</v>
      </c>
      <c r="E127" s="329"/>
      <c r="F127" s="458"/>
      <c r="G127" s="781" t="str">
        <f>IF(G123&lt;&gt;"",G123+G125,"")</f>
        <v/>
      </c>
      <c r="H127" s="782"/>
      <c r="I127" s="781" t="str">
        <f>IF(I123&lt;&gt;"",I123+I125,"")</f>
        <v/>
      </c>
      <c r="J127" s="782"/>
      <c r="K127" s="459" t="str">
        <f>IF(K123&lt;&gt;"",K123+K125,"")</f>
        <v/>
      </c>
    </row>
    <row r="130" spans="2:11" ht="15.75">
      <c r="B130" s="775" t="s">
        <v>168</v>
      </c>
      <c r="C130" s="775"/>
      <c r="D130" s="775"/>
      <c r="E130" s="775"/>
      <c r="F130" s="775"/>
      <c r="G130" s="775"/>
      <c r="H130" s="775"/>
      <c r="I130" s="775"/>
      <c r="J130" s="775"/>
      <c r="K130" s="775"/>
    </row>
    <row r="131" spans="2:11">
      <c r="B131" s="449"/>
      <c r="C131" s="449"/>
      <c r="D131" s="449"/>
      <c r="E131" s="449"/>
      <c r="F131" s="449"/>
      <c r="G131" s="449"/>
      <c r="H131" s="449"/>
      <c r="I131" s="449"/>
      <c r="J131" s="449"/>
      <c r="K131" s="449"/>
    </row>
    <row r="132" spans="2:11">
      <c r="G132" s="762" t="s">
        <v>166</v>
      </c>
      <c r="H132" s="762"/>
      <c r="I132" s="762"/>
      <c r="J132" s="762"/>
      <c r="K132" s="776" t="s">
        <v>403</v>
      </c>
    </row>
    <row r="133" spans="2:11">
      <c r="G133" s="762">
        <v>0</v>
      </c>
      <c r="H133" s="762"/>
      <c r="I133" s="762">
        <v>1</v>
      </c>
      <c r="J133" s="762"/>
      <c r="K133" s="777"/>
    </row>
    <row r="134" spans="2:11">
      <c r="B134" s="778" t="s">
        <v>39</v>
      </c>
      <c r="C134" s="451">
        <v>0</v>
      </c>
      <c r="D134" s="452" t="s">
        <v>338</v>
      </c>
      <c r="E134" s="453"/>
      <c r="F134" s="454"/>
      <c r="G134" s="779">
        <f>COUNTIF($AE$14:$AG$62,"=a")</f>
        <v>0</v>
      </c>
      <c r="H134" s="780"/>
      <c r="I134" s="779">
        <f>COUNTIF($AE$14:$AG$62,"=c")</f>
        <v>0</v>
      </c>
      <c r="J134" s="780"/>
      <c r="K134" s="455">
        <f>SUM(G134:J134)</f>
        <v>0</v>
      </c>
    </row>
    <row r="135" spans="2:11">
      <c r="B135" s="778"/>
      <c r="C135" s="456"/>
      <c r="D135" s="457" t="s">
        <v>402</v>
      </c>
      <c r="E135" s="329"/>
      <c r="F135" s="458"/>
      <c r="G135" s="781" t="str">
        <f>IF(K138&lt;&gt;0,K134/K138*G138,"")</f>
        <v/>
      </c>
      <c r="H135" s="782"/>
      <c r="I135" s="781" t="str">
        <f>IF(K138&lt;&gt;0,K134/K138*I138,"")</f>
        <v/>
      </c>
      <c r="J135" s="782"/>
      <c r="K135" s="459" t="str">
        <f>IF(G135&lt;&gt;"",G135+I135,"")</f>
        <v/>
      </c>
    </row>
    <row r="136" spans="2:11">
      <c r="B136" s="778"/>
      <c r="C136" s="451">
        <v>1</v>
      </c>
      <c r="D136" s="452" t="s">
        <v>338</v>
      </c>
      <c r="E136" s="453"/>
      <c r="F136" s="454"/>
      <c r="G136" s="779">
        <f>COUNTIF($AE$14:$AG$62,"=b")</f>
        <v>0</v>
      </c>
      <c r="H136" s="780"/>
      <c r="I136" s="779">
        <f>COUNTIF($AE$14:$AG$62,"=d")</f>
        <v>0</v>
      </c>
      <c r="J136" s="780"/>
      <c r="K136" s="455">
        <f>SUM(G136:J136)</f>
        <v>0</v>
      </c>
    </row>
    <row r="137" spans="2:11">
      <c r="B137" s="778"/>
      <c r="C137" s="456"/>
      <c r="D137" s="457" t="s">
        <v>402</v>
      </c>
      <c r="E137" s="329"/>
      <c r="F137" s="458"/>
      <c r="G137" s="781" t="str">
        <f>IF(K138&lt;&gt;0,K136/K138*G138,"")</f>
        <v/>
      </c>
      <c r="H137" s="782"/>
      <c r="I137" s="781" t="str">
        <f>IF(K138&lt;&gt;0,K136/K138*I138,"")</f>
        <v/>
      </c>
      <c r="J137" s="782"/>
      <c r="K137" s="459" t="str">
        <f>IF(G137&lt;&gt;"",G137+I137,"")</f>
        <v/>
      </c>
    </row>
    <row r="138" spans="2:11">
      <c r="B138" s="783" t="s">
        <v>403</v>
      </c>
      <c r="C138" s="784"/>
      <c r="D138" s="452" t="s">
        <v>338</v>
      </c>
      <c r="E138" s="453"/>
      <c r="F138" s="454"/>
      <c r="G138" s="779">
        <f>G134+G136</f>
        <v>0</v>
      </c>
      <c r="H138" s="780"/>
      <c r="I138" s="779">
        <f>I134+I136</f>
        <v>0</v>
      </c>
      <c r="J138" s="780"/>
      <c r="K138" s="455">
        <f>K134+K136</f>
        <v>0</v>
      </c>
    </row>
    <row r="139" spans="2:11">
      <c r="B139" s="785"/>
      <c r="C139" s="786"/>
      <c r="D139" s="457" t="s">
        <v>402</v>
      </c>
      <c r="E139" s="329"/>
      <c r="F139" s="458"/>
      <c r="G139" s="781" t="str">
        <f>IF(G135&lt;&gt;"",G135+G137,"")</f>
        <v/>
      </c>
      <c r="H139" s="782"/>
      <c r="I139" s="781" t="str">
        <f>IF(I135&lt;&gt;"",I135+I137,"")</f>
        <v/>
      </c>
      <c r="J139" s="782"/>
      <c r="K139" s="459" t="str">
        <f>IF(K135&lt;&gt;"",K135+K137,"")</f>
        <v/>
      </c>
    </row>
    <row r="143" spans="2:11" ht="15.75">
      <c r="B143" s="775" t="s">
        <v>187</v>
      </c>
      <c r="C143" s="775"/>
      <c r="D143" s="775"/>
      <c r="E143" s="775"/>
      <c r="F143" s="775"/>
      <c r="G143" s="775"/>
      <c r="H143" s="775"/>
      <c r="I143" s="775"/>
      <c r="J143" s="775"/>
      <c r="K143" s="775"/>
    </row>
    <row r="144" spans="2:11">
      <c r="B144" s="449"/>
      <c r="C144" s="449"/>
      <c r="D144" s="449"/>
      <c r="E144" s="449"/>
      <c r="F144" s="449"/>
      <c r="G144" s="449"/>
      <c r="H144" s="449"/>
      <c r="I144" s="449"/>
      <c r="J144" s="449"/>
      <c r="K144" s="449"/>
    </row>
    <row r="145" spans="2:26">
      <c r="G145" s="762" t="s">
        <v>166</v>
      </c>
      <c r="H145" s="762"/>
      <c r="I145" s="762"/>
      <c r="J145" s="762"/>
      <c r="K145" s="776" t="s">
        <v>403</v>
      </c>
    </row>
    <row r="146" spans="2:26">
      <c r="G146" s="762">
        <v>0</v>
      </c>
      <c r="H146" s="762"/>
      <c r="I146" s="762">
        <v>1</v>
      </c>
      <c r="J146" s="762"/>
      <c r="K146" s="777"/>
    </row>
    <row r="147" spans="2:26">
      <c r="B147" s="778" t="s">
        <v>640</v>
      </c>
      <c r="C147" s="451">
        <v>0</v>
      </c>
      <c r="D147" s="452" t="s">
        <v>338</v>
      </c>
      <c r="E147" s="453"/>
      <c r="F147" s="454"/>
      <c r="G147" s="779">
        <f>COUNTIF($AI$14:$AK$62,"=a")</f>
        <v>0</v>
      </c>
      <c r="H147" s="780"/>
      <c r="I147" s="779">
        <f>COUNTIF($AI$14:$AK$62,"=c")</f>
        <v>0</v>
      </c>
      <c r="J147" s="780"/>
      <c r="K147" s="455">
        <f>SUM(G147:J147)</f>
        <v>0</v>
      </c>
    </row>
    <row r="148" spans="2:26">
      <c r="B148" s="778"/>
      <c r="C148" s="456"/>
      <c r="D148" s="457" t="s">
        <v>402</v>
      </c>
      <c r="E148" s="329"/>
      <c r="F148" s="458"/>
      <c r="G148" s="781" t="str">
        <f>IF(K151&lt;&gt;0,K147/K151*G151,"")</f>
        <v/>
      </c>
      <c r="H148" s="782"/>
      <c r="I148" s="781" t="str">
        <f>IF(K151&lt;&gt;0,K147/K151*I151,"")</f>
        <v/>
      </c>
      <c r="J148" s="782"/>
      <c r="K148" s="459" t="str">
        <f>IF(G148&lt;&gt;"",G148+I148,"")</f>
        <v/>
      </c>
    </row>
    <row r="149" spans="2:26">
      <c r="B149" s="778"/>
      <c r="C149" s="451">
        <v>1</v>
      </c>
      <c r="D149" s="452" t="s">
        <v>338</v>
      </c>
      <c r="E149" s="453"/>
      <c r="F149" s="454"/>
      <c r="G149" s="779">
        <f>COUNTIF($AI$14:$AK$62,"=b")</f>
        <v>0</v>
      </c>
      <c r="H149" s="780"/>
      <c r="I149" s="779">
        <f>COUNTIF($AI$14:$AK$62,"=d")</f>
        <v>0</v>
      </c>
      <c r="J149" s="780"/>
      <c r="K149" s="455">
        <f>SUM(G149:J149)</f>
        <v>0</v>
      </c>
    </row>
    <row r="150" spans="2:26">
      <c r="B150" s="778"/>
      <c r="C150" s="456"/>
      <c r="D150" s="457" t="s">
        <v>402</v>
      </c>
      <c r="E150" s="329"/>
      <c r="F150" s="458"/>
      <c r="G150" s="781" t="str">
        <f>IF(K151&lt;&gt;0,K149/K151*G151,"")</f>
        <v/>
      </c>
      <c r="H150" s="782"/>
      <c r="I150" s="781" t="str">
        <f>IF(K151&lt;&gt;0,K149/K151*I151,"")</f>
        <v/>
      </c>
      <c r="J150" s="782"/>
      <c r="K150" s="459" t="str">
        <f>IF(G150&lt;&gt;"",G150+I150,"")</f>
        <v/>
      </c>
    </row>
    <row r="151" spans="2:26">
      <c r="B151" s="783" t="s">
        <v>403</v>
      </c>
      <c r="C151" s="784"/>
      <c r="D151" s="452" t="s">
        <v>338</v>
      </c>
      <c r="E151" s="453"/>
      <c r="F151" s="454"/>
      <c r="G151" s="779">
        <f>G147+G149</f>
        <v>0</v>
      </c>
      <c r="H151" s="780"/>
      <c r="I151" s="779">
        <f>I147+I149</f>
        <v>0</v>
      </c>
      <c r="J151" s="780"/>
      <c r="K151" s="455">
        <f>K147+K149</f>
        <v>0</v>
      </c>
    </row>
    <row r="152" spans="2:26">
      <c r="B152" s="785"/>
      <c r="C152" s="786"/>
      <c r="D152" s="457" t="s">
        <v>402</v>
      </c>
      <c r="E152" s="329"/>
      <c r="F152" s="458"/>
      <c r="G152" s="781" t="str">
        <f>IF(G148&lt;&gt;"",G148+G150,"")</f>
        <v/>
      </c>
      <c r="H152" s="782"/>
      <c r="I152" s="781" t="str">
        <f>IF(I148&lt;&gt;"",I148+I150,"")</f>
        <v/>
      </c>
      <c r="J152" s="782"/>
      <c r="K152" s="459" t="str">
        <f>IF(K148&lt;&gt;"",K148+K150,"")</f>
        <v/>
      </c>
    </row>
    <row r="155" spans="2:26">
      <c r="B155" s="787"/>
      <c r="C155" s="788"/>
      <c r="D155" s="762" t="s">
        <v>134</v>
      </c>
      <c r="E155" s="762"/>
      <c r="F155" s="762" t="s">
        <v>39</v>
      </c>
      <c r="G155" s="762"/>
      <c r="H155" s="762" t="s">
        <v>640</v>
      </c>
      <c r="I155" s="762"/>
      <c r="K155" s="291"/>
    </row>
    <row r="156" spans="2:26">
      <c r="B156" s="792" t="s">
        <v>229</v>
      </c>
      <c r="C156" s="792"/>
      <c r="D156" s="790" t="str">
        <f>IF(K127&lt;&gt;"",((G122+I124)/K126-(G123+I125)/K127)/(1-(G123+I125)/K127),"")</f>
        <v/>
      </c>
      <c r="E156" s="791"/>
      <c r="F156" s="790" t="str">
        <f>IF(K139&lt;&gt;"",((G134+I136)/K126-(G135+I137)/K139)/(1-(G135+I137)/K139),"")</f>
        <v/>
      </c>
      <c r="G156" s="791"/>
      <c r="H156" s="790" t="str">
        <f>IF(K152&lt;&gt;"",((G147+I149)/K126-(G148+I150)/K152)/(1-(G148+I150)/K152),"")</f>
        <v/>
      </c>
      <c r="I156" s="791"/>
      <c r="K156" s="291"/>
    </row>
    <row r="159" spans="2:26">
      <c r="B159" s="793" t="s">
        <v>610</v>
      </c>
      <c r="C159" s="794"/>
      <c r="D159" s="794"/>
      <c r="E159" s="794"/>
      <c r="F159" s="795"/>
      <c r="G159" s="291"/>
      <c r="H159" s="291"/>
      <c r="I159" s="291"/>
      <c r="J159" s="291"/>
      <c r="K159" s="291"/>
      <c r="L159" s="291"/>
      <c r="N159" s="328"/>
      <c r="O159" s="299"/>
      <c r="R159" s="301"/>
      <c r="Z159" s="299"/>
    </row>
    <row r="160" spans="2:26">
      <c r="B160" s="690" t="s">
        <v>172</v>
      </c>
      <c r="C160" s="692"/>
      <c r="D160" s="690" t="str">
        <f>IF(D156&lt;&gt;"",IF(D156&gt;0.75,"Good Agreement",IF(D156&lt;0.4,"Poor Agreement","Some Agreement")),"")</f>
        <v/>
      </c>
      <c r="E160" s="691"/>
      <c r="F160" s="692"/>
      <c r="H160" s="291" t="s">
        <v>163</v>
      </c>
      <c r="N160" s="328"/>
      <c r="O160" s="299"/>
      <c r="R160" s="301"/>
      <c r="Z160" s="299"/>
    </row>
    <row r="161" spans="2:28">
      <c r="B161" s="690" t="s">
        <v>173</v>
      </c>
      <c r="C161" s="692"/>
      <c r="D161" s="690" t="str">
        <f>IF(F156&lt;&gt;"",IF(F156&gt;0.75,"Good Agreement",IF(F156&lt;0.4,"Poor Agreement","Some Agreement")),"")</f>
        <v/>
      </c>
      <c r="E161" s="691"/>
      <c r="F161" s="692"/>
      <c r="H161" s="291" t="s">
        <v>165</v>
      </c>
      <c r="N161" s="328"/>
      <c r="O161" s="299"/>
      <c r="R161" s="301"/>
      <c r="Z161" s="299"/>
    </row>
    <row r="162" spans="2:28">
      <c r="B162" s="690" t="s">
        <v>174</v>
      </c>
      <c r="C162" s="692"/>
      <c r="D162" s="690" t="str">
        <f>IF(H156&lt;&gt;"",IF(H156&gt;0.75,"Good Agreement",IF(H156&lt;0.4,"Poor Agreement","Some Agreement")),"")</f>
        <v/>
      </c>
      <c r="E162" s="691"/>
      <c r="F162" s="692"/>
      <c r="H162" s="291" t="s">
        <v>164</v>
      </c>
      <c r="N162" s="328"/>
      <c r="O162" s="299"/>
      <c r="R162" s="301"/>
      <c r="Z162" s="299"/>
    </row>
    <row r="165" spans="2:28" ht="14.25">
      <c r="E165" s="796" t="s">
        <v>181</v>
      </c>
      <c r="F165" s="796"/>
      <c r="G165" s="796"/>
      <c r="H165" s="796"/>
      <c r="I165" s="796"/>
      <c r="J165" s="796"/>
      <c r="K165" s="796" t="s">
        <v>182</v>
      </c>
      <c r="L165" s="796"/>
      <c r="M165" s="796"/>
    </row>
    <row r="166" spans="2:28">
      <c r="B166" s="291" t="s">
        <v>426</v>
      </c>
      <c r="E166" s="797" t="s">
        <v>31</v>
      </c>
      <c r="F166" s="798"/>
      <c r="G166" s="799" t="s">
        <v>33</v>
      </c>
      <c r="H166" s="798"/>
      <c r="I166" s="799" t="s">
        <v>42</v>
      </c>
      <c r="J166" s="797"/>
      <c r="K166" s="296" t="s">
        <v>31</v>
      </c>
      <c r="L166" s="325" t="s">
        <v>33</v>
      </c>
      <c r="M166" s="458" t="s">
        <v>42</v>
      </c>
      <c r="O166" s="299" t="s">
        <v>184</v>
      </c>
      <c r="S166" s="299" t="s">
        <v>185</v>
      </c>
      <c r="W166" s="299" t="s">
        <v>186</v>
      </c>
      <c r="AA166" s="291" t="s">
        <v>646</v>
      </c>
    </row>
    <row r="167" spans="2:28">
      <c r="B167" s="291" t="s">
        <v>175</v>
      </c>
      <c r="E167" s="800" t="str">
        <f>IF(B14&lt;&gt;"",COUNT(B14:B50)+COUNT(B53:B62),"")</f>
        <v/>
      </c>
      <c r="F167" s="801"/>
      <c r="G167" s="800" t="str">
        <f>IF(E14&lt;&gt;"",COUNT(E14:E50)+COUNT(E53:E62),"")</f>
        <v/>
      </c>
      <c r="H167" s="801"/>
      <c r="I167" s="800" t="str">
        <f>IF(H14&lt;&gt;"",COUNT(H14:H50)+COUNT(H53:H62),"")</f>
        <v/>
      </c>
      <c r="J167" s="801"/>
      <c r="K167" s="340" t="str">
        <f>E167</f>
        <v/>
      </c>
      <c r="L167" s="340" t="str">
        <f>G167</f>
        <v/>
      </c>
      <c r="M167" s="340" t="str">
        <f>I167</f>
        <v/>
      </c>
      <c r="O167" s="464" t="str">
        <f t="shared" ref="O167:O203" si="15">IF(B14&lt;&gt;"",IF(AND(B14=C14,C14=D14),1,0),"")</f>
        <v/>
      </c>
      <c r="P167" s="464" t="str">
        <f t="shared" ref="P167:P203" si="16">IF(B14&lt;&gt;"",IF(AND(B14=C14,C14=D14,D14=K14),1,0),"")</f>
        <v/>
      </c>
      <c r="Q167" s="301" t="str">
        <f t="shared" ref="Q167:Q203" si="17">IF(O167&lt;&gt;"",IF(O167&lt;&gt;P167,K14,""),"")</f>
        <v/>
      </c>
      <c r="S167" s="464" t="str">
        <f t="shared" ref="S167:S203" si="18">IF(E14&lt;&gt;"",IF(AND(E14=F14,E14=G14),1,0),"")</f>
        <v/>
      </c>
      <c r="T167" s="464" t="str">
        <f t="shared" ref="T167:T203" si="19">IF(E14&lt;&gt;"",IF(AND(E14=F14,F14=G14,G14=K14),1,0),"")</f>
        <v/>
      </c>
      <c r="U167" s="301" t="str">
        <f t="shared" ref="U167:U203" si="20">IF(S167&lt;&gt;"",IF(S167&lt;&gt;T167,K14,""),"")</f>
        <v/>
      </c>
      <c r="W167" s="464" t="str">
        <f t="shared" ref="W167:W203" si="21">IF(H14&lt;&gt;"",IF(AND(H14=I14,I14=J14),1,0),"")</f>
        <v/>
      </c>
      <c r="X167" s="464" t="str">
        <f t="shared" ref="X167:X203" si="22">IF(H14&lt;&gt;"",IF(AND(H14=I14,I14=J14,J14=K14),1,0),"")</f>
        <v/>
      </c>
      <c r="Y167" s="301" t="str">
        <f t="shared" ref="Y167:Y203" si="23">IF(W167&lt;&gt;"",IF(W167&lt;&gt;X167,K14,""),"")</f>
        <v/>
      </c>
      <c r="AA167" s="328" t="str">
        <f t="shared" ref="AA167:AA203" si="24">IF(B14&lt;&gt;"",IF(OR(SUM(B14:J14)=9,SUM(B14:J14)=0),1,0),"")</f>
        <v/>
      </c>
      <c r="AB167" s="328" t="str">
        <f>IF(X167&lt;&gt;"",IF(P167+T167+X167=3,1,0),"")</f>
        <v/>
      </c>
    </row>
    <row r="168" spans="2:28">
      <c r="B168" s="291" t="s">
        <v>176</v>
      </c>
      <c r="E168" s="800" t="e">
        <f>SUM(O167:O220)</f>
        <v>#REF!</v>
      </c>
      <c r="F168" s="801"/>
      <c r="G168" s="800" t="e">
        <f>SUM(S167:S220)</f>
        <v>#REF!</v>
      </c>
      <c r="H168" s="801"/>
      <c r="I168" s="800" t="e">
        <f>SUM(W167:W220)</f>
        <v>#REF!</v>
      </c>
      <c r="J168" s="801"/>
      <c r="K168" s="340" t="e">
        <f>SUM(P167:P220)</f>
        <v>#REF!</v>
      </c>
      <c r="L168" s="340" t="e">
        <f>SUM(T167:T220)</f>
        <v>#REF!</v>
      </c>
      <c r="M168" s="340" t="e">
        <f>SUM(X167:X220)</f>
        <v>#REF!</v>
      </c>
      <c r="O168" s="464" t="str">
        <f t="shared" si="15"/>
        <v/>
      </c>
      <c r="P168" s="464" t="str">
        <f t="shared" si="16"/>
        <v/>
      </c>
      <c r="Q168" s="301" t="str">
        <f t="shared" si="17"/>
        <v/>
      </c>
      <c r="S168" s="464" t="str">
        <f t="shared" si="18"/>
        <v/>
      </c>
      <c r="T168" s="464" t="str">
        <f t="shared" si="19"/>
        <v/>
      </c>
      <c r="U168" s="301" t="str">
        <f t="shared" si="20"/>
        <v/>
      </c>
      <c r="W168" s="464" t="str">
        <f t="shared" si="21"/>
        <v/>
      </c>
      <c r="X168" s="464" t="str">
        <f t="shared" si="22"/>
        <v/>
      </c>
      <c r="Y168" s="301" t="str">
        <f t="shared" si="23"/>
        <v/>
      </c>
      <c r="AA168" s="328" t="str">
        <f t="shared" si="24"/>
        <v/>
      </c>
      <c r="AB168" s="328" t="str">
        <f t="shared" ref="AB168:AB206" si="25">IF(X168&lt;&gt;"",IF(P168+T168+X168=3,1,0),"")</f>
        <v/>
      </c>
    </row>
    <row r="169" spans="2:28">
      <c r="B169" s="291" t="s">
        <v>177</v>
      </c>
      <c r="K169" s="463">
        <f>COUNTIF(Q167:Q220,"=1")</f>
        <v>0</v>
      </c>
      <c r="L169" s="463">
        <f>COUNTIF(U167:U220,"=1")</f>
        <v>0</v>
      </c>
      <c r="M169" s="463">
        <f>COUNTIF(Y167:Y220,"=1")</f>
        <v>0</v>
      </c>
      <c r="O169" s="464" t="str">
        <f t="shared" si="15"/>
        <v/>
      </c>
      <c r="P169" s="464" t="str">
        <f t="shared" si="16"/>
        <v/>
      </c>
      <c r="Q169" s="301" t="str">
        <f t="shared" si="17"/>
        <v/>
      </c>
      <c r="S169" s="464" t="str">
        <f t="shared" si="18"/>
        <v/>
      </c>
      <c r="T169" s="464" t="str">
        <f t="shared" si="19"/>
        <v/>
      </c>
      <c r="U169" s="301" t="str">
        <f t="shared" si="20"/>
        <v/>
      </c>
      <c r="W169" s="464" t="str">
        <f t="shared" si="21"/>
        <v/>
      </c>
      <c r="X169" s="464" t="str">
        <f t="shared" si="22"/>
        <v/>
      </c>
      <c r="Y169" s="301" t="str">
        <f t="shared" si="23"/>
        <v/>
      </c>
      <c r="AA169" s="328" t="str">
        <f t="shared" si="24"/>
        <v/>
      </c>
      <c r="AB169" s="328" t="str">
        <f t="shared" si="25"/>
        <v/>
      </c>
    </row>
    <row r="170" spans="2:28">
      <c r="B170" s="291" t="s">
        <v>178</v>
      </c>
      <c r="K170" s="463">
        <f>COUNTIF(Q167:Q220,"=0")</f>
        <v>0</v>
      </c>
      <c r="L170" s="463">
        <f>COUNTIF(U167:U220,"=0")</f>
        <v>0</v>
      </c>
      <c r="M170" s="463">
        <f>COUNTIF(Y167:Y220,"=0")</f>
        <v>0</v>
      </c>
      <c r="O170" s="464" t="str">
        <f t="shared" si="15"/>
        <v/>
      </c>
      <c r="P170" s="464" t="str">
        <f t="shared" si="16"/>
        <v/>
      </c>
      <c r="Q170" s="301" t="str">
        <f t="shared" si="17"/>
        <v/>
      </c>
      <c r="S170" s="464" t="str">
        <f t="shared" si="18"/>
        <v/>
      </c>
      <c r="T170" s="464" t="str">
        <f t="shared" si="19"/>
        <v/>
      </c>
      <c r="U170" s="301" t="str">
        <f t="shared" si="20"/>
        <v/>
      </c>
      <c r="W170" s="464" t="str">
        <f t="shared" si="21"/>
        <v/>
      </c>
      <c r="X170" s="464" t="str">
        <f t="shared" si="22"/>
        <v/>
      </c>
      <c r="Y170" s="301" t="str">
        <f t="shared" si="23"/>
        <v/>
      </c>
      <c r="AA170" s="328" t="str">
        <f t="shared" si="24"/>
        <v/>
      </c>
      <c r="AB170" s="328" t="str">
        <f t="shared" si="25"/>
        <v/>
      </c>
    </row>
    <row r="171" spans="2:28">
      <c r="B171" s="291" t="s">
        <v>179</v>
      </c>
      <c r="K171" s="340" t="str">
        <f>IF(K167&lt;&gt;"",K167-K168,"")</f>
        <v/>
      </c>
      <c r="L171" s="340" t="str">
        <f>IF(L167&lt;&gt;"",L167-L168,"")</f>
        <v/>
      </c>
      <c r="M171" s="340" t="str">
        <f>IF(M167&lt;&gt;"",M167-M168,"")</f>
        <v/>
      </c>
      <c r="O171" s="464" t="str">
        <f t="shared" si="15"/>
        <v/>
      </c>
      <c r="P171" s="464" t="str">
        <f t="shared" si="16"/>
        <v/>
      </c>
      <c r="Q171" s="301" t="str">
        <f t="shared" si="17"/>
        <v/>
      </c>
      <c r="S171" s="464" t="str">
        <f t="shared" si="18"/>
        <v/>
      </c>
      <c r="T171" s="464" t="str">
        <f t="shared" si="19"/>
        <v/>
      </c>
      <c r="U171" s="301" t="str">
        <f t="shared" si="20"/>
        <v/>
      </c>
      <c r="W171" s="464" t="str">
        <f t="shared" si="21"/>
        <v/>
      </c>
      <c r="X171" s="464" t="str">
        <f t="shared" si="22"/>
        <v/>
      </c>
      <c r="Y171" s="301" t="str">
        <f t="shared" si="23"/>
        <v/>
      </c>
      <c r="AA171" s="328" t="str">
        <f t="shared" si="24"/>
        <v/>
      </c>
      <c r="AB171" s="328" t="str">
        <f t="shared" si="25"/>
        <v/>
      </c>
    </row>
    <row r="172" spans="2:28" ht="14.25">
      <c r="B172" s="291" t="s">
        <v>190</v>
      </c>
      <c r="E172" s="802" t="e">
        <f>IF(E168&lt;&gt;0,(E173+1.96*1.96/2/E168+1.96*SQRT((E173*(1-E173)+1.96*1.96/4/E168)/E168))/(1+1.96*1.96/E168),"")</f>
        <v>#REF!</v>
      </c>
      <c r="F172" s="803"/>
      <c r="G172" s="802" t="e">
        <f>IF(G168&lt;&gt;0,(G173+1.96*1.96/2/G168+1.96*SQRT((G173*(1-G173)+1.96*1.96/4/G168)/G168))/(1+1.96*1.96/G168),"")</f>
        <v>#REF!</v>
      </c>
      <c r="H172" s="803"/>
      <c r="I172" s="802" t="e">
        <f>IF(I168&lt;&gt;0,(I173+1.96*1.96/2/I168+1.96*SQRT((I173*(1-I173)+1.96*1.96/4/I168)/I168))/(1+1.96*1.96/I168),"")</f>
        <v>#REF!</v>
      </c>
      <c r="J172" s="803"/>
      <c r="K172" s="465" t="e">
        <f>IF(K168&lt;&gt;0,(K173+1.96*1.96/2/K168+1.96*SQRT((K173*(1-K173)+1.96*1.96/4/K168)/K168))/(1+1.96*1.96/K168),"")</f>
        <v>#REF!</v>
      </c>
      <c r="L172" s="465" t="e">
        <f>IF(L168&lt;&gt;0,(L173+1.96*1.96/2/L168+1.96*SQRT((L173*(1-L173)+1.96*1.96/4/L168)/L168))/(1+1.96*1.96/L168),"")</f>
        <v>#REF!</v>
      </c>
      <c r="M172" s="465" t="e">
        <f>IF(M168&lt;&gt;0,(M173+1.96*1.96/2/M168+1.96*SQRT((M173*(1-M173)+1.96*1.96/4/M168)/M168))/(1+1.96*1.96/M168),"")</f>
        <v>#REF!</v>
      </c>
      <c r="O172" s="464" t="str">
        <f t="shared" si="15"/>
        <v/>
      </c>
      <c r="P172" s="464" t="str">
        <f t="shared" si="16"/>
        <v/>
      </c>
      <c r="Q172" s="301" t="str">
        <f t="shared" si="17"/>
        <v/>
      </c>
      <c r="S172" s="464" t="str">
        <f t="shared" si="18"/>
        <v/>
      </c>
      <c r="T172" s="464" t="str">
        <f t="shared" si="19"/>
        <v/>
      </c>
      <c r="U172" s="301" t="str">
        <f t="shared" si="20"/>
        <v/>
      </c>
      <c r="W172" s="464" t="str">
        <f t="shared" si="21"/>
        <v/>
      </c>
      <c r="X172" s="464" t="str">
        <f t="shared" si="22"/>
        <v/>
      </c>
      <c r="Y172" s="301" t="str">
        <f t="shared" si="23"/>
        <v/>
      </c>
      <c r="AA172" s="328" t="str">
        <f t="shared" si="24"/>
        <v/>
      </c>
      <c r="AB172" s="328" t="str">
        <f t="shared" si="25"/>
        <v/>
      </c>
    </row>
    <row r="173" spans="2:28">
      <c r="B173" s="334" t="s">
        <v>180</v>
      </c>
      <c r="E173" s="804" t="str">
        <f>IF(K167&lt;&gt;"",E168/E167,"")</f>
        <v/>
      </c>
      <c r="F173" s="804"/>
      <c r="G173" s="804" t="str">
        <f>IF(M167&lt;&gt;"",G168/G167,"")</f>
        <v/>
      </c>
      <c r="H173" s="804"/>
      <c r="I173" s="804" t="str">
        <f>IF(O167&lt;&gt;"",I168/I167,"")</f>
        <v/>
      </c>
      <c r="J173" s="804"/>
      <c r="K173" s="466" t="str">
        <f>IF(K167&lt;&gt;"",K168/K167,"")</f>
        <v/>
      </c>
      <c r="L173" s="466" t="str">
        <f>IF(L167&lt;&gt;"",L168/L167,"")</f>
        <v/>
      </c>
      <c r="M173" s="466" t="str">
        <f>IF(M167&lt;&gt;"",M168/M167,"")</f>
        <v/>
      </c>
      <c r="O173" s="464" t="str">
        <f t="shared" si="15"/>
        <v/>
      </c>
      <c r="P173" s="464" t="str">
        <f t="shared" si="16"/>
        <v/>
      </c>
      <c r="Q173" s="301" t="str">
        <f t="shared" si="17"/>
        <v/>
      </c>
      <c r="S173" s="464" t="str">
        <f t="shared" si="18"/>
        <v/>
      </c>
      <c r="T173" s="464" t="str">
        <f t="shared" si="19"/>
        <v/>
      </c>
      <c r="U173" s="301" t="str">
        <f t="shared" si="20"/>
        <v/>
      </c>
      <c r="W173" s="464" t="str">
        <f t="shared" si="21"/>
        <v/>
      </c>
      <c r="X173" s="464" t="str">
        <f t="shared" si="22"/>
        <v/>
      </c>
      <c r="Y173" s="301" t="str">
        <f t="shared" si="23"/>
        <v/>
      </c>
      <c r="AA173" s="328" t="str">
        <f t="shared" si="24"/>
        <v/>
      </c>
      <c r="AB173" s="328" t="str">
        <f t="shared" si="25"/>
        <v/>
      </c>
    </row>
    <row r="174" spans="2:28" ht="14.25">
      <c r="B174" s="291" t="s">
        <v>191</v>
      </c>
      <c r="E174" s="802" t="e">
        <f>IF(E168&lt;&gt;0,(E173+1.96*1.96/2/E168-1.96*SQRT((E173*(1-E173)+1.96*1.96/4/E168)/E168))/(1+1.96*1.96/E168),"")</f>
        <v>#REF!</v>
      </c>
      <c r="F174" s="803"/>
      <c r="G174" s="802" t="e">
        <f>IF(G168&lt;&gt;0,(G173+1.96*1.96/2/G168-1.96*SQRT((G173*(1-G173)+1.96*1.96/4/G168)/G168))/(1+1.96*1.96/G168),"")</f>
        <v>#REF!</v>
      </c>
      <c r="H174" s="803"/>
      <c r="I174" s="802" t="e">
        <f>IF(I168&lt;&gt;0,(I173+1.96*1.96/2/I168-1.96*SQRT((I173*(1-I173)+1.96*1.96/4/I168)/I168))/(1+1.96*1.96/I168),"")</f>
        <v>#REF!</v>
      </c>
      <c r="J174" s="803"/>
      <c r="K174" s="465" t="e">
        <f>IF(K168&lt;&gt;0,(K173+1.96*1.96/2/K168-1.96*SQRT((K173*(1-K173)+1.96*1.96/4/K168)/K168))/(1+1.96*1.96/K168),"")</f>
        <v>#REF!</v>
      </c>
      <c r="L174" s="465" t="e">
        <f>IF(L168&lt;&gt;0,(L173+1.96*1.96/2/L168-1.96*SQRT((L173*(1-L173)+1.96*1.96/4/L168)/L168))/(1+1.96*1.96/L168),"")</f>
        <v>#REF!</v>
      </c>
      <c r="M174" s="465" t="e">
        <f>IF(M168&lt;&gt;0,(M173+1.96*1.96/2/M168-1.96*SQRT((M173*(1-M173)+1.96*1.96/4/M168)/M168))/(1+1.96*1.96/M168),"")</f>
        <v>#REF!</v>
      </c>
      <c r="O174" s="464" t="str">
        <f t="shared" si="15"/>
        <v/>
      </c>
      <c r="P174" s="464" t="str">
        <f t="shared" si="16"/>
        <v/>
      </c>
      <c r="Q174" s="301" t="str">
        <f t="shared" si="17"/>
        <v/>
      </c>
      <c r="S174" s="464" t="str">
        <f t="shared" si="18"/>
        <v/>
      </c>
      <c r="T174" s="464" t="str">
        <f t="shared" si="19"/>
        <v/>
      </c>
      <c r="U174" s="301" t="str">
        <f t="shared" si="20"/>
        <v/>
      </c>
      <c r="W174" s="464" t="str">
        <f t="shared" si="21"/>
        <v/>
      </c>
      <c r="X174" s="464" t="str">
        <f t="shared" si="22"/>
        <v/>
      </c>
      <c r="Y174" s="301" t="str">
        <f t="shared" si="23"/>
        <v/>
      </c>
      <c r="AA174" s="328" t="str">
        <f t="shared" si="24"/>
        <v/>
      </c>
      <c r="AB174" s="328" t="str">
        <f t="shared" si="25"/>
        <v/>
      </c>
    </row>
    <row r="175" spans="2:28">
      <c r="O175" s="464" t="str">
        <f t="shared" si="15"/>
        <v/>
      </c>
      <c r="P175" s="464" t="str">
        <f t="shared" si="16"/>
        <v/>
      </c>
      <c r="Q175" s="301" t="str">
        <f t="shared" si="17"/>
        <v/>
      </c>
      <c r="S175" s="464" t="str">
        <f t="shared" si="18"/>
        <v/>
      </c>
      <c r="T175" s="464" t="str">
        <f t="shared" si="19"/>
        <v/>
      </c>
      <c r="U175" s="301" t="str">
        <f t="shared" si="20"/>
        <v/>
      </c>
      <c r="W175" s="464" t="str">
        <f t="shared" si="21"/>
        <v/>
      </c>
      <c r="X175" s="464" t="str">
        <f t="shared" si="22"/>
        <v/>
      </c>
      <c r="Y175" s="301" t="str">
        <f t="shared" si="23"/>
        <v/>
      </c>
      <c r="AA175" s="328" t="str">
        <f t="shared" si="24"/>
        <v/>
      </c>
      <c r="AB175" s="328" t="str">
        <f t="shared" si="25"/>
        <v/>
      </c>
    </row>
    <row r="176" spans="2:28">
      <c r="O176" s="464" t="str">
        <f t="shared" si="15"/>
        <v/>
      </c>
      <c r="P176" s="464" t="str">
        <f t="shared" si="16"/>
        <v/>
      </c>
      <c r="Q176" s="301" t="str">
        <f t="shared" si="17"/>
        <v/>
      </c>
      <c r="S176" s="464" t="str">
        <f t="shared" si="18"/>
        <v/>
      </c>
      <c r="T176" s="464" t="str">
        <f t="shared" si="19"/>
        <v/>
      </c>
      <c r="U176" s="301" t="str">
        <f t="shared" si="20"/>
        <v/>
      </c>
      <c r="W176" s="464" t="str">
        <f t="shared" si="21"/>
        <v/>
      </c>
      <c r="X176" s="464" t="str">
        <f t="shared" si="22"/>
        <v/>
      </c>
      <c r="Y176" s="301" t="str">
        <f t="shared" si="23"/>
        <v/>
      </c>
      <c r="AA176" s="328" t="str">
        <f t="shared" si="24"/>
        <v/>
      </c>
      <c r="AB176" s="328" t="str">
        <f t="shared" si="25"/>
        <v/>
      </c>
    </row>
    <row r="177" spans="2:28" ht="14.25">
      <c r="E177" s="762" t="s">
        <v>188</v>
      </c>
      <c r="F177" s="762"/>
      <c r="G177" s="762"/>
      <c r="H177" s="762"/>
      <c r="I177" s="762"/>
      <c r="J177" s="762"/>
      <c r="K177" s="805" t="s">
        <v>189</v>
      </c>
      <c r="L177" s="805"/>
      <c r="M177" s="805"/>
      <c r="O177" s="464" t="str">
        <f t="shared" si="15"/>
        <v/>
      </c>
      <c r="P177" s="464" t="str">
        <f t="shared" si="16"/>
        <v/>
      </c>
      <c r="Q177" s="301" t="str">
        <f t="shared" si="17"/>
        <v/>
      </c>
      <c r="S177" s="464" t="str">
        <f t="shared" si="18"/>
        <v/>
      </c>
      <c r="T177" s="464" t="str">
        <f t="shared" si="19"/>
        <v/>
      </c>
      <c r="U177" s="301" t="str">
        <f t="shared" si="20"/>
        <v/>
      </c>
      <c r="W177" s="464" t="str">
        <f t="shared" si="21"/>
        <v/>
      </c>
      <c r="X177" s="464" t="str">
        <f t="shared" si="22"/>
        <v/>
      </c>
      <c r="Y177" s="301" t="str">
        <f t="shared" si="23"/>
        <v/>
      </c>
      <c r="AA177" s="328" t="str">
        <f t="shared" si="24"/>
        <v/>
      </c>
      <c r="AB177" s="328" t="str">
        <f t="shared" si="25"/>
        <v/>
      </c>
    </row>
    <row r="178" spans="2:28">
      <c r="B178" s="291" t="s">
        <v>175</v>
      </c>
      <c r="G178" s="801" t="str">
        <f>E167</f>
        <v/>
      </c>
      <c r="H178" s="801"/>
      <c r="L178" s="340" t="str">
        <f>K167</f>
        <v/>
      </c>
      <c r="O178" s="464" t="str">
        <f t="shared" si="15"/>
        <v/>
      </c>
      <c r="P178" s="464" t="str">
        <f t="shared" si="16"/>
        <v/>
      </c>
      <c r="Q178" s="301" t="str">
        <f t="shared" si="17"/>
        <v/>
      </c>
      <c r="S178" s="464" t="str">
        <f t="shared" si="18"/>
        <v/>
      </c>
      <c r="T178" s="464" t="str">
        <f t="shared" si="19"/>
        <v/>
      </c>
      <c r="U178" s="301" t="str">
        <f t="shared" si="20"/>
        <v/>
      </c>
      <c r="W178" s="464" t="str">
        <f t="shared" si="21"/>
        <v/>
      </c>
      <c r="X178" s="464" t="str">
        <f t="shared" si="22"/>
        <v/>
      </c>
      <c r="Y178" s="301" t="str">
        <f t="shared" si="23"/>
        <v/>
      </c>
      <c r="AA178" s="328" t="str">
        <f t="shared" si="24"/>
        <v/>
      </c>
      <c r="AB178" s="328" t="str">
        <f t="shared" si="25"/>
        <v/>
      </c>
    </row>
    <row r="179" spans="2:28">
      <c r="B179" s="291" t="s">
        <v>183</v>
      </c>
      <c r="G179" s="801" t="e">
        <f>SUM(AA167:AA220)</f>
        <v>#REF!</v>
      </c>
      <c r="H179" s="801"/>
      <c r="L179" s="340" t="e">
        <f>SUM(AB167:AB220)</f>
        <v>#REF!</v>
      </c>
      <c r="O179" s="464" t="str">
        <f t="shared" si="15"/>
        <v/>
      </c>
      <c r="P179" s="464" t="str">
        <f t="shared" si="16"/>
        <v/>
      </c>
      <c r="Q179" s="301" t="str">
        <f t="shared" si="17"/>
        <v/>
      </c>
      <c r="S179" s="464" t="str">
        <f t="shared" si="18"/>
        <v/>
      </c>
      <c r="T179" s="464" t="str">
        <f t="shared" si="19"/>
        <v/>
      </c>
      <c r="U179" s="301" t="str">
        <f t="shared" si="20"/>
        <v/>
      </c>
      <c r="W179" s="464" t="str">
        <f t="shared" si="21"/>
        <v/>
      </c>
      <c r="X179" s="464" t="str">
        <f t="shared" si="22"/>
        <v/>
      </c>
      <c r="Y179" s="301" t="str">
        <f t="shared" si="23"/>
        <v/>
      </c>
      <c r="AA179" s="328" t="str">
        <f t="shared" si="24"/>
        <v/>
      </c>
      <c r="AB179" s="328" t="str">
        <f t="shared" si="25"/>
        <v/>
      </c>
    </row>
    <row r="180" spans="2:28" ht="14.25">
      <c r="B180" s="291" t="s">
        <v>190</v>
      </c>
      <c r="G180" s="802" t="e">
        <f>IF(G179&lt;&gt;0,(G181+1.96*1.96/2/G179+1.96*SQRT((G181*(1-G181)+1.96*1.96/4/G179)/G179))/(1+1.96*1.96/G179),"")</f>
        <v>#REF!</v>
      </c>
      <c r="H180" s="803"/>
      <c r="L180" s="465" t="e">
        <f>IF(L179&lt;&gt;0,(L181+1.96*1.96/2/L179+1.96*SQRT((L181*(1-L181)+1.96*1.96/4/L179)/L179))/(1+1.96*1.96/L179),"")</f>
        <v>#REF!</v>
      </c>
      <c r="M180" s="467"/>
      <c r="O180" s="464" t="str">
        <f t="shared" si="15"/>
        <v/>
      </c>
      <c r="P180" s="464" t="str">
        <f t="shared" si="16"/>
        <v/>
      </c>
      <c r="Q180" s="301" t="str">
        <f t="shared" si="17"/>
        <v/>
      </c>
      <c r="S180" s="464" t="str">
        <f t="shared" si="18"/>
        <v/>
      </c>
      <c r="T180" s="464" t="str">
        <f t="shared" si="19"/>
        <v/>
      </c>
      <c r="U180" s="301" t="str">
        <f t="shared" si="20"/>
        <v/>
      </c>
      <c r="W180" s="464" t="str">
        <f t="shared" si="21"/>
        <v/>
      </c>
      <c r="X180" s="464" t="str">
        <f t="shared" si="22"/>
        <v/>
      </c>
      <c r="Y180" s="301" t="str">
        <f t="shared" si="23"/>
        <v/>
      </c>
      <c r="AA180" s="328" t="str">
        <f t="shared" si="24"/>
        <v/>
      </c>
      <c r="AB180" s="328" t="str">
        <f t="shared" si="25"/>
        <v/>
      </c>
    </row>
    <row r="181" spans="2:28">
      <c r="B181" s="334" t="s">
        <v>180</v>
      </c>
      <c r="G181" s="804" t="str">
        <f>IF(G178&lt;&gt;"",G179/G178,"")</f>
        <v/>
      </c>
      <c r="H181" s="804"/>
      <c r="I181" s="449"/>
      <c r="J181" s="449"/>
      <c r="K181" s="449"/>
      <c r="L181" s="466" t="str">
        <f>IF(L178&lt;&gt;"",L179/L178,"")</f>
        <v/>
      </c>
      <c r="M181" s="468"/>
      <c r="O181" s="464" t="str">
        <f t="shared" si="15"/>
        <v/>
      </c>
      <c r="P181" s="464" t="str">
        <f t="shared" si="16"/>
        <v/>
      </c>
      <c r="Q181" s="301" t="str">
        <f t="shared" si="17"/>
        <v/>
      </c>
      <c r="S181" s="464" t="str">
        <f t="shared" si="18"/>
        <v/>
      </c>
      <c r="T181" s="464" t="str">
        <f t="shared" si="19"/>
        <v/>
      </c>
      <c r="U181" s="301" t="str">
        <f t="shared" si="20"/>
        <v/>
      </c>
      <c r="W181" s="464" t="str">
        <f t="shared" si="21"/>
        <v/>
      </c>
      <c r="X181" s="464" t="str">
        <f t="shared" si="22"/>
        <v/>
      </c>
      <c r="Y181" s="301" t="str">
        <f t="shared" si="23"/>
        <v/>
      </c>
      <c r="AA181" s="328" t="str">
        <f t="shared" si="24"/>
        <v/>
      </c>
      <c r="AB181" s="328" t="str">
        <f t="shared" si="25"/>
        <v/>
      </c>
    </row>
    <row r="182" spans="2:28" ht="14.25">
      <c r="B182" s="291" t="s">
        <v>191</v>
      </c>
      <c r="G182" s="802" t="e">
        <f>IF(G179&lt;&gt;0,(G181+1.96*1.96/2/G179-1.96*SQRT((G181*(1-G181)+1.96*1.96/4/G179)/G179))/(1+1.96*1.96/G179),"")</f>
        <v>#REF!</v>
      </c>
      <c r="H182" s="803"/>
      <c r="L182" s="465" t="e">
        <f>IF(L179&lt;&gt;0,(L181+1.96*1.96/2/L179-1.96*SQRT((L181*(1-L181)+1.96*1.96/4/L179)/L179))/(1+1.96*1.96/L179),"")</f>
        <v>#REF!</v>
      </c>
      <c r="M182" s="469"/>
      <c r="O182" s="464" t="str">
        <f t="shared" si="15"/>
        <v/>
      </c>
      <c r="P182" s="464" t="str">
        <f t="shared" si="16"/>
        <v/>
      </c>
      <c r="Q182" s="301" t="str">
        <f t="shared" si="17"/>
        <v/>
      </c>
      <c r="S182" s="464" t="str">
        <f t="shared" si="18"/>
        <v/>
      </c>
      <c r="T182" s="464" t="str">
        <f t="shared" si="19"/>
        <v/>
      </c>
      <c r="U182" s="301" t="str">
        <f t="shared" si="20"/>
        <v/>
      </c>
      <c r="W182" s="464" t="str">
        <f t="shared" si="21"/>
        <v/>
      </c>
      <c r="X182" s="464" t="str">
        <f t="shared" si="22"/>
        <v/>
      </c>
      <c r="Y182" s="301" t="str">
        <f t="shared" si="23"/>
        <v/>
      </c>
      <c r="AA182" s="328" t="str">
        <f t="shared" si="24"/>
        <v/>
      </c>
      <c r="AB182" s="328" t="str">
        <f t="shared" si="25"/>
        <v/>
      </c>
    </row>
    <row r="183" spans="2:28">
      <c r="O183" s="464" t="str">
        <f t="shared" si="15"/>
        <v/>
      </c>
      <c r="P183" s="464" t="str">
        <f t="shared" si="16"/>
        <v/>
      </c>
      <c r="Q183" s="301" t="str">
        <f t="shared" si="17"/>
        <v/>
      </c>
      <c r="S183" s="464" t="str">
        <f t="shared" si="18"/>
        <v/>
      </c>
      <c r="T183" s="464" t="str">
        <f t="shared" si="19"/>
        <v/>
      </c>
      <c r="U183" s="301" t="str">
        <f t="shared" si="20"/>
        <v/>
      </c>
      <c r="W183" s="464" t="str">
        <f t="shared" si="21"/>
        <v/>
      </c>
      <c r="X183" s="464" t="str">
        <f t="shared" si="22"/>
        <v/>
      </c>
      <c r="Y183" s="301" t="str">
        <f t="shared" si="23"/>
        <v/>
      </c>
      <c r="AA183" s="328" t="str">
        <f t="shared" si="24"/>
        <v/>
      </c>
      <c r="AB183" s="328" t="str">
        <f t="shared" si="25"/>
        <v/>
      </c>
    </row>
    <row r="184" spans="2:28">
      <c r="B184" s="338" t="s">
        <v>105</v>
      </c>
      <c r="C184" s="331"/>
      <c r="D184" s="345"/>
      <c r="E184" s="345"/>
      <c r="F184" s="345"/>
      <c r="G184" s="345"/>
      <c r="H184" s="345"/>
      <c r="I184" s="345"/>
      <c r="J184" s="345"/>
      <c r="K184" s="345"/>
      <c r="L184" s="345"/>
      <c r="M184" s="454"/>
      <c r="O184" s="464" t="str">
        <f t="shared" si="15"/>
        <v/>
      </c>
      <c r="P184" s="464" t="str">
        <f t="shared" si="16"/>
        <v/>
      </c>
      <c r="Q184" s="301" t="str">
        <f t="shared" si="17"/>
        <v/>
      </c>
      <c r="S184" s="464" t="str">
        <f t="shared" si="18"/>
        <v/>
      </c>
      <c r="T184" s="464" t="str">
        <f t="shared" si="19"/>
        <v/>
      </c>
      <c r="U184" s="301" t="str">
        <f t="shared" si="20"/>
        <v/>
      </c>
      <c r="W184" s="464" t="str">
        <f t="shared" si="21"/>
        <v/>
      </c>
      <c r="X184" s="464" t="str">
        <f t="shared" si="22"/>
        <v/>
      </c>
      <c r="Y184" s="301" t="str">
        <f t="shared" si="23"/>
        <v/>
      </c>
      <c r="AA184" s="328" t="str">
        <f t="shared" si="24"/>
        <v/>
      </c>
      <c r="AB184" s="328" t="str">
        <f t="shared" si="25"/>
        <v/>
      </c>
    </row>
    <row r="185" spans="2:28">
      <c r="B185" s="470"/>
      <c r="C185" s="301"/>
      <c r="D185" s="299" t="s">
        <v>192</v>
      </c>
      <c r="M185" s="471"/>
      <c r="O185" s="464" t="str">
        <f t="shared" si="15"/>
        <v/>
      </c>
      <c r="P185" s="464" t="str">
        <f t="shared" si="16"/>
        <v/>
      </c>
      <c r="Q185" s="301" t="str">
        <f t="shared" si="17"/>
        <v/>
      </c>
      <c r="S185" s="464" t="str">
        <f t="shared" si="18"/>
        <v/>
      </c>
      <c r="T185" s="464" t="str">
        <f t="shared" si="19"/>
        <v/>
      </c>
      <c r="U185" s="301" t="str">
        <f t="shared" si="20"/>
        <v/>
      </c>
      <c r="W185" s="464" t="str">
        <f t="shared" si="21"/>
        <v/>
      </c>
      <c r="X185" s="464" t="str">
        <f t="shared" si="22"/>
        <v/>
      </c>
      <c r="Y185" s="301" t="str">
        <f t="shared" si="23"/>
        <v/>
      </c>
      <c r="AA185" s="328" t="str">
        <f t="shared" si="24"/>
        <v/>
      </c>
      <c r="AB185" s="328" t="str">
        <f t="shared" si="25"/>
        <v/>
      </c>
    </row>
    <row r="186" spans="2:28">
      <c r="B186" s="470"/>
      <c r="C186" s="301"/>
      <c r="D186" s="299" t="s">
        <v>193</v>
      </c>
      <c r="M186" s="471"/>
      <c r="O186" s="464" t="str">
        <f t="shared" si="15"/>
        <v/>
      </c>
      <c r="P186" s="464" t="str">
        <f t="shared" si="16"/>
        <v/>
      </c>
      <c r="Q186" s="301" t="str">
        <f t="shared" si="17"/>
        <v/>
      </c>
      <c r="S186" s="464" t="str">
        <f t="shared" si="18"/>
        <v/>
      </c>
      <c r="T186" s="464" t="str">
        <f t="shared" si="19"/>
        <v/>
      </c>
      <c r="U186" s="301" t="str">
        <f t="shared" si="20"/>
        <v/>
      </c>
      <c r="W186" s="464" t="str">
        <f t="shared" si="21"/>
        <v/>
      </c>
      <c r="X186" s="464" t="str">
        <f t="shared" si="22"/>
        <v/>
      </c>
      <c r="Y186" s="301" t="str">
        <f t="shared" si="23"/>
        <v/>
      </c>
      <c r="AA186" s="328" t="str">
        <f t="shared" si="24"/>
        <v/>
      </c>
      <c r="AB186" s="328" t="str">
        <f t="shared" si="25"/>
        <v/>
      </c>
    </row>
    <row r="187" spans="2:28">
      <c r="B187" s="470"/>
      <c r="C187" s="301"/>
      <c r="D187" s="299" t="s">
        <v>194</v>
      </c>
      <c r="M187" s="471"/>
      <c r="O187" s="464" t="str">
        <f t="shared" si="15"/>
        <v/>
      </c>
      <c r="P187" s="464" t="str">
        <f t="shared" si="16"/>
        <v/>
      </c>
      <c r="Q187" s="301" t="str">
        <f t="shared" si="17"/>
        <v/>
      </c>
      <c r="S187" s="464" t="str">
        <f t="shared" si="18"/>
        <v/>
      </c>
      <c r="T187" s="464" t="str">
        <f t="shared" si="19"/>
        <v/>
      </c>
      <c r="U187" s="301" t="str">
        <f t="shared" si="20"/>
        <v/>
      </c>
      <c r="W187" s="464" t="str">
        <f t="shared" si="21"/>
        <v/>
      </c>
      <c r="X187" s="464" t="str">
        <f t="shared" si="22"/>
        <v/>
      </c>
      <c r="Y187" s="301" t="str">
        <f t="shared" si="23"/>
        <v/>
      </c>
      <c r="AA187" s="328" t="str">
        <f t="shared" si="24"/>
        <v/>
      </c>
      <c r="AB187" s="328" t="str">
        <f t="shared" si="25"/>
        <v/>
      </c>
    </row>
    <row r="188" spans="2:28">
      <c r="B188" s="470"/>
      <c r="C188" s="301"/>
      <c r="D188" s="299" t="s">
        <v>195</v>
      </c>
      <c r="M188" s="471"/>
      <c r="O188" s="464" t="str">
        <f t="shared" si="15"/>
        <v/>
      </c>
      <c r="P188" s="464" t="str">
        <f t="shared" si="16"/>
        <v/>
      </c>
      <c r="Q188" s="301" t="str">
        <f t="shared" si="17"/>
        <v/>
      </c>
      <c r="S188" s="464" t="str">
        <f t="shared" si="18"/>
        <v/>
      </c>
      <c r="T188" s="464" t="str">
        <f t="shared" si="19"/>
        <v/>
      </c>
      <c r="U188" s="301" t="str">
        <f t="shared" si="20"/>
        <v/>
      </c>
      <c r="W188" s="464" t="str">
        <f t="shared" si="21"/>
        <v/>
      </c>
      <c r="X188" s="464" t="str">
        <f t="shared" si="22"/>
        <v/>
      </c>
      <c r="Y188" s="301" t="str">
        <f t="shared" si="23"/>
        <v/>
      </c>
      <c r="AA188" s="328" t="str">
        <f t="shared" si="24"/>
        <v/>
      </c>
      <c r="AB188" s="328" t="str">
        <f t="shared" si="25"/>
        <v/>
      </c>
    </row>
    <row r="189" spans="2:28">
      <c r="B189" s="437"/>
      <c r="D189" s="299" t="s">
        <v>29</v>
      </c>
      <c r="M189" s="471"/>
      <c r="O189" s="464" t="str">
        <f t="shared" si="15"/>
        <v/>
      </c>
      <c r="P189" s="464" t="str">
        <f t="shared" si="16"/>
        <v/>
      </c>
      <c r="Q189" s="301" t="str">
        <f t="shared" si="17"/>
        <v/>
      </c>
      <c r="S189" s="464" t="str">
        <f t="shared" si="18"/>
        <v/>
      </c>
      <c r="T189" s="464" t="str">
        <f t="shared" si="19"/>
        <v/>
      </c>
      <c r="U189" s="301" t="str">
        <f t="shared" si="20"/>
        <v/>
      </c>
      <c r="W189" s="464" t="str">
        <f t="shared" si="21"/>
        <v/>
      </c>
      <c r="X189" s="464" t="str">
        <f t="shared" si="22"/>
        <v/>
      </c>
      <c r="Y189" s="301" t="str">
        <f t="shared" si="23"/>
        <v/>
      </c>
      <c r="AA189" s="328" t="str">
        <f t="shared" si="24"/>
        <v/>
      </c>
      <c r="AB189" s="328" t="str">
        <f t="shared" si="25"/>
        <v/>
      </c>
    </row>
    <row r="190" spans="2:28">
      <c r="B190" s="462"/>
      <c r="C190" s="325"/>
      <c r="D190" s="295"/>
      <c r="E190" s="325"/>
      <c r="F190" s="325"/>
      <c r="G190" s="325"/>
      <c r="H190" s="325"/>
      <c r="I190" s="325"/>
      <c r="J190" s="325"/>
      <c r="K190" s="325"/>
      <c r="L190" s="325"/>
      <c r="M190" s="458"/>
      <c r="O190" s="464" t="str">
        <f t="shared" si="15"/>
        <v/>
      </c>
      <c r="P190" s="464" t="str">
        <f t="shared" si="16"/>
        <v/>
      </c>
      <c r="Q190" s="301" t="str">
        <f t="shared" si="17"/>
        <v/>
      </c>
      <c r="S190" s="464" t="str">
        <f t="shared" si="18"/>
        <v/>
      </c>
      <c r="T190" s="464" t="str">
        <f t="shared" si="19"/>
        <v/>
      </c>
      <c r="U190" s="301" t="str">
        <f t="shared" si="20"/>
        <v/>
      </c>
      <c r="W190" s="464" t="str">
        <f t="shared" si="21"/>
        <v/>
      </c>
      <c r="X190" s="464" t="str">
        <f t="shared" si="22"/>
        <v/>
      </c>
      <c r="Y190" s="301" t="str">
        <f t="shared" si="23"/>
        <v/>
      </c>
      <c r="AA190" s="328" t="str">
        <f t="shared" si="24"/>
        <v/>
      </c>
      <c r="AB190" s="328" t="str">
        <f t="shared" si="25"/>
        <v/>
      </c>
    </row>
    <row r="191" spans="2:28">
      <c r="D191" s="291"/>
      <c r="O191" s="464" t="str">
        <f t="shared" si="15"/>
        <v/>
      </c>
      <c r="P191" s="464" t="str">
        <f t="shared" si="16"/>
        <v/>
      </c>
      <c r="Q191" s="301" t="str">
        <f t="shared" si="17"/>
        <v/>
      </c>
      <c r="S191" s="464" t="str">
        <f t="shared" si="18"/>
        <v/>
      </c>
      <c r="T191" s="464" t="str">
        <f t="shared" si="19"/>
        <v/>
      </c>
      <c r="U191" s="301" t="str">
        <f t="shared" si="20"/>
        <v/>
      </c>
      <c r="W191" s="464" t="str">
        <f t="shared" si="21"/>
        <v/>
      </c>
      <c r="X191" s="464" t="str">
        <f t="shared" si="22"/>
        <v/>
      </c>
      <c r="Y191" s="301" t="str">
        <f t="shared" si="23"/>
        <v/>
      </c>
      <c r="AA191" s="328" t="str">
        <f t="shared" si="24"/>
        <v/>
      </c>
      <c r="AB191" s="328" t="str">
        <f t="shared" si="25"/>
        <v/>
      </c>
    </row>
    <row r="192" spans="2:28" ht="15.75">
      <c r="B192" s="291" t="s">
        <v>816</v>
      </c>
      <c r="C192" s="291" t="s">
        <v>534</v>
      </c>
      <c r="D192" s="291"/>
      <c r="K192" s="291" t="s">
        <v>540</v>
      </c>
      <c r="O192" s="464" t="str">
        <f t="shared" si="15"/>
        <v/>
      </c>
      <c r="P192" s="464" t="str">
        <f t="shared" si="16"/>
        <v/>
      </c>
      <c r="Q192" s="301" t="str">
        <f t="shared" si="17"/>
        <v/>
      </c>
      <c r="S192" s="464" t="str">
        <f t="shared" si="18"/>
        <v/>
      </c>
      <c r="T192" s="464" t="str">
        <f t="shared" si="19"/>
        <v/>
      </c>
      <c r="U192" s="301" t="str">
        <f t="shared" si="20"/>
        <v/>
      </c>
      <c r="W192" s="464" t="str">
        <f t="shared" si="21"/>
        <v/>
      </c>
      <c r="X192" s="464" t="str">
        <f t="shared" si="22"/>
        <v/>
      </c>
      <c r="Y192" s="301" t="str">
        <f t="shared" si="23"/>
        <v/>
      </c>
      <c r="AA192" s="328" t="str">
        <f t="shared" si="24"/>
        <v/>
      </c>
      <c r="AB192" s="328" t="str">
        <f t="shared" si="25"/>
        <v/>
      </c>
    </row>
    <row r="193" spans="2:28" ht="15.75">
      <c r="B193" s="291" t="s">
        <v>817</v>
      </c>
      <c r="C193" s="291" t="s">
        <v>535</v>
      </c>
      <c r="D193" s="291"/>
      <c r="K193" s="291" t="s">
        <v>541</v>
      </c>
      <c r="O193" s="464" t="str">
        <f t="shared" si="15"/>
        <v/>
      </c>
      <c r="P193" s="464" t="str">
        <f t="shared" si="16"/>
        <v/>
      </c>
      <c r="Q193" s="301" t="str">
        <f t="shared" si="17"/>
        <v/>
      </c>
      <c r="S193" s="464" t="str">
        <f t="shared" si="18"/>
        <v/>
      </c>
      <c r="T193" s="464" t="str">
        <f t="shared" si="19"/>
        <v/>
      </c>
      <c r="U193" s="301" t="str">
        <f t="shared" si="20"/>
        <v/>
      </c>
      <c r="W193" s="464" t="str">
        <f t="shared" si="21"/>
        <v/>
      </c>
      <c r="X193" s="464" t="str">
        <f t="shared" si="22"/>
        <v/>
      </c>
      <c r="Y193" s="301" t="str">
        <f t="shared" si="23"/>
        <v/>
      </c>
      <c r="AA193" s="328" t="str">
        <f t="shared" si="24"/>
        <v/>
      </c>
      <c r="AB193" s="328" t="str">
        <f t="shared" si="25"/>
        <v/>
      </c>
    </row>
    <row r="194" spans="2:28">
      <c r="D194" s="291"/>
      <c r="O194" s="464" t="str">
        <f t="shared" si="15"/>
        <v/>
      </c>
      <c r="P194" s="464" t="str">
        <f t="shared" si="16"/>
        <v/>
      </c>
      <c r="Q194" s="301" t="str">
        <f t="shared" si="17"/>
        <v/>
      </c>
      <c r="S194" s="464" t="str">
        <f t="shared" si="18"/>
        <v/>
      </c>
      <c r="T194" s="464" t="str">
        <f t="shared" si="19"/>
        <v/>
      </c>
      <c r="U194" s="301" t="str">
        <f t="shared" si="20"/>
        <v/>
      </c>
      <c r="W194" s="464" t="str">
        <f t="shared" si="21"/>
        <v/>
      </c>
      <c r="X194" s="464" t="str">
        <f t="shared" si="22"/>
        <v/>
      </c>
      <c r="Y194" s="301" t="str">
        <f t="shared" si="23"/>
        <v/>
      </c>
      <c r="AA194" s="328" t="str">
        <f t="shared" si="24"/>
        <v/>
      </c>
      <c r="AB194" s="328" t="str">
        <f t="shared" si="25"/>
        <v/>
      </c>
    </row>
    <row r="195" spans="2:28">
      <c r="B195" s="291" t="s">
        <v>532</v>
      </c>
      <c r="D195" s="291"/>
      <c r="E195" s="291" t="s">
        <v>533</v>
      </c>
      <c r="O195" s="464" t="str">
        <f t="shared" si="15"/>
        <v/>
      </c>
      <c r="P195" s="464" t="str">
        <f t="shared" si="16"/>
        <v/>
      </c>
      <c r="Q195" s="301" t="str">
        <f t="shared" si="17"/>
        <v/>
      </c>
      <c r="S195" s="464" t="str">
        <f t="shared" si="18"/>
        <v/>
      </c>
      <c r="T195" s="464" t="str">
        <f t="shared" si="19"/>
        <v/>
      </c>
      <c r="U195" s="301" t="str">
        <f t="shared" si="20"/>
        <v/>
      </c>
      <c r="W195" s="464" t="str">
        <f t="shared" si="21"/>
        <v/>
      </c>
      <c r="X195" s="464" t="str">
        <f t="shared" si="22"/>
        <v/>
      </c>
      <c r="Y195" s="301" t="str">
        <f t="shared" si="23"/>
        <v/>
      </c>
      <c r="AA195" s="328" t="str">
        <f t="shared" si="24"/>
        <v/>
      </c>
      <c r="AB195" s="328" t="str">
        <f t="shared" si="25"/>
        <v/>
      </c>
    </row>
    <row r="196" spans="2:28">
      <c r="D196" s="291"/>
      <c r="O196" s="464" t="str">
        <f t="shared" si="15"/>
        <v/>
      </c>
      <c r="P196" s="464" t="str">
        <f t="shared" si="16"/>
        <v/>
      </c>
      <c r="Q196" s="301" t="str">
        <f t="shared" si="17"/>
        <v/>
      </c>
      <c r="S196" s="464" t="str">
        <f t="shared" si="18"/>
        <v/>
      </c>
      <c r="T196" s="464" t="str">
        <f t="shared" si="19"/>
        <v/>
      </c>
      <c r="U196" s="301" t="str">
        <f t="shared" si="20"/>
        <v/>
      </c>
      <c r="W196" s="464" t="str">
        <f t="shared" si="21"/>
        <v/>
      </c>
      <c r="X196" s="464" t="str">
        <f t="shared" si="22"/>
        <v/>
      </c>
      <c r="Y196" s="301" t="str">
        <f t="shared" si="23"/>
        <v/>
      </c>
      <c r="AA196" s="328" t="str">
        <f t="shared" si="24"/>
        <v/>
      </c>
      <c r="AB196" s="328" t="str">
        <f t="shared" si="25"/>
        <v/>
      </c>
    </row>
    <row r="197" spans="2:28">
      <c r="B197" s="762" t="s">
        <v>536</v>
      </c>
      <c r="C197" s="762"/>
      <c r="D197" s="762"/>
      <c r="E197" s="762"/>
      <c r="F197" s="762"/>
      <c r="G197" s="762"/>
      <c r="H197" s="762"/>
      <c r="I197" s="762"/>
      <c r="J197" s="762"/>
      <c r="K197" s="762"/>
      <c r="O197" s="464" t="str">
        <f t="shared" si="15"/>
        <v/>
      </c>
      <c r="P197" s="464" t="str">
        <f t="shared" si="16"/>
        <v/>
      </c>
      <c r="Q197" s="301" t="str">
        <f t="shared" si="17"/>
        <v/>
      </c>
      <c r="S197" s="464" t="str">
        <f t="shared" si="18"/>
        <v/>
      </c>
      <c r="T197" s="464" t="str">
        <f t="shared" si="19"/>
        <v/>
      </c>
      <c r="U197" s="301" t="str">
        <f t="shared" si="20"/>
        <v/>
      </c>
      <c r="W197" s="464" t="str">
        <f t="shared" si="21"/>
        <v/>
      </c>
      <c r="X197" s="464" t="str">
        <f t="shared" si="22"/>
        <v/>
      </c>
      <c r="Y197" s="301" t="str">
        <f t="shared" si="23"/>
        <v/>
      </c>
      <c r="AA197" s="328" t="str">
        <f t="shared" si="24"/>
        <v/>
      </c>
      <c r="AB197" s="328" t="str">
        <f t="shared" si="25"/>
        <v/>
      </c>
    </row>
    <row r="198" spans="2:28">
      <c r="B198" s="801" t="s">
        <v>537</v>
      </c>
      <c r="C198" s="801"/>
      <c r="D198" s="801"/>
      <c r="E198" s="801"/>
      <c r="F198" s="806" t="e">
        <f>IF(AND(G173&lt;E172,G173&gt;E174),"Accept Null Hypothesis","Reject Null Hypothesis Accept Alternative")</f>
        <v>#REF!</v>
      </c>
      <c r="G198" s="806"/>
      <c r="H198" s="806"/>
      <c r="I198" s="806"/>
      <c r="J198" s="806"/>
      <c r="K198" s="806"/>
      <c r="O198" s="464" t="str">
        <f t="shared" si="15"/>
        <v/>
      </c>
      <c r="P198" s="464" t="str">
        <f t="shared" si="16"/>
        <v/>
      </c>
      <c r="Q198" s="301" t="str">
        <f t="shared" si="17"/>
        <v/>
      </c>
      <c r="S198" s="464" t="str">
        <f t="shared" si="18"/>
        <v/>
      </c>
      <c r="T198" s="464" t="str">
        <f t="shared" si="19"/>
        <v/>
      </c>
      <c r="U198" s="301" t="str">
        <f t="shared" si="20"/>
        <v/>
      </c>
      <c r="W198" s="464" t="str">
        <f t="shared" si="21"/>
        <v/>
      </c>
      <c r="X198" s="464" t="str">
        <f t="shared" si="22"/>
        <v/>
      </c>
      <c r="Y198" s="301" t="str">
        <f t="shared" si="23"/>
        <v/>
      </c>
      <c r="AA198" s="328" t="str">
        <f t="shared" si="24"/>
        <v/>
      </c>
      <c r="AB198" s="328" t="str">
        <f t="shared" si="25"/>
        <v/>
      </c>
    </row>
    <row r="199" spans="2:28">
      <c r="B199" s="801" t="s">
        <v>538</v>
      </c>
      <c r="C199" s="801"/>
      <c r="D199" s="801"/>
      <c r="E199" s="801"/>
      <c r="F199" s="806" t="e">
        <f>IF(AND(I173&lt;E172,I173&gt;E174),"Accept Null Hypothesis","Reject Null Hypothesis Accept Alternative")</f>
        <v>#REF!</v>
      </c>
      <c r="G199" s="806"/>
      <c r="H199" s="806"/>
      <c r="I199" s="806"/>
      <c r="J199" s="806"/>
      <c r="K199" s="806"/>
      <c r="O199" s="464" t="str">
        <f t="shared" si="15"/>
        <v/>
      </c>
      <c r="P199" s="464" t="str">
        <f t="shared" si="16"/>
        <v/>
      </c>
      <c r="Q199" s="301" t="str">
        <f t="shared" si="17"/>
        <v/>
      </c>
      <c r="S199" s="464" t="str">
        <f t="shared" si="18"/>
        <v/>
      </c>
      <c r="T199" s="464" t="str">
        <f t="shared" si="19"/>
        <v/>
      </c>
      <c r="U199" s="301" t="str">
        <f t="shared" si="20"/>
        <v/>
      </c>
      <c r="W199" s="464" t="str">
        <f t="shared" si="21"/>
        <v/>
      </c>
      <c r="X199" s="464" t="str">
        <f t="shared" si="22"/>
        <v/>
      </c>
      <c r="Y199" s="301" t="str">
        <f t="shared" si="23"/>
        <v/>
      </c>
      <c r="AA199" s="328" t="str">
        <f t="shared" si="24"/>
        <v/>
      </c>
      <c r="AB199" s="328" t="str">
        <f t="shared" si="25"/>
        <v/>
      </c>
    </row>
    <row r="200" spans="2:28">
      <c r="B200" s="801" t="s">
        <v>539</v>
      </c>
      <c r="C200" s="801"/>
      <c r="D200" s="801"/>
      <c r="E200" s="801"/>
      <c r="F200" s="806" t="e">
        <f>IF(AND(I173&lt;G172,I173&gt;G174),"Accept Null Hypothesis","Reject Null Hypothesis Accept Alternative")</f>
        <v>#REF!</v>
      </c>
      <c r="G200" s="806"/>
      <c r="H200" s="806"/>
      <c r="I200" s="806"/>
      <c r="J200" s="806"/>
      <c r="K200" s="806"/>
      <c r="O200" s="464" t="str">
        <f t="shared" si="15"/>
        <v/>
      </c>
      <c r="P200" s="464" t="str">
        <f t="shared" si="16"/>
        <v/>
      </c>
      <c r="Q200" s="301" t="str">
        <f t="shared" si="17"/>
        <v/>
      </c>
      <c r="S200" s="464" t="str">
        <f t="shared" si="18"/>
        <v/>
      </c>
      <c r="T200" s="464" t="str">
        <f t="shared" si="19"/>
        <v/>
      </c>
      <c r="U200" s="301" t="str">
        <f t="shared" si="20"/>
        <v/>
      </c>
      <c r="W200" s="464" t="str">
        <f t="shared" si="21"/>
        <v/>
      </c>
      <c r="X200" s="464" t="str">
        <f t="shared" si="22"/>
        <v/>
      </c>
      <c r="Y200" s="301" t="str">
        <f t="shared" si="23"/>
        <v/>
      </c>
      <c r="AA200" s="328" t="str">
        <f t="shared" si="24"/>
        <v/>
      </c>
      <c r="AB200" s="328" t="str">
        <f t="shared" si="25"/>
        <v/>
      </c>
    </row>
    <row r="201" spans="2:28">
      <c r="D201" s="291"/>
      <c r="O201" s="464" t="str">
        <f t="shared" si="15"/>
        <v/>
      </c>
      <c r="P201" s="464" t="str">
        <f t="shared" si="16"/>
        <v/>
      </c>
      <c r="Q201" s="301" t="str">
        <f t="shared" si="17"/>
        <v/>
      </c>
      <c r="S201" s="464" t="str">
        <f t="shared" si="18"/>
        <v/>
      </c>
      <c r="T201" s="464" t="str">
        <f t="shared" si="19"/>
        <v/>
      </c>
      <c r="U201" s="301" t="str">
        <f t="shared" si="20"/>
        <v/>
      </c>
      <c r="W201" s="464" t="str">
        <f t="shared" si="21"/>
        <v/>
      </c>
      <c r="X201" s="464" t="str">
        <f t="shared" si="22"/>
        <v/>
      </c>
      <c r="Y201" s="301" t="str">
        <f t="shared" si="23"/>
        <v/>
      </c>
      <c r="AA201" s="328" t="str">
        <f t="shared" si="24"/>
        <v/>
      </c>
      <c r="AB201" s="328" t="str">
        <f t="shared" si="25"/>
        <v/>
      </c>
    </row>
    <row r="202" spans="2:28">
      <c r="D202" s="291"/>
      <c r="O202" s="464" t="str">
        <f t="shared" si="15"/>
        <v/>
      </c>
      <c r="P202" s="464" t="str">
        <f t="shared" si="16"/>
        <v/>
      </c>
      <c r="Q202" s="301" t="str">
        <f t="shared" si="17"/>
        <v/>
      </c>
      <c r="S202" s="464" t="str">
        <f t="shared" si="18"/>
        <v/>
      </c>
      <c r="T202" s="464" t="str">
        <f t="shared" si="19"/>
        <v/>
      </c>
      <c r="U202" s="301" t="str">
        <f t="shared" si="20"/>
        <v/>
      </c>
      <c r="W202" s="464" t="str">
        <f t="shared" si="21"/>
        <v/>
      </c>
      <c r="X202" s="464" t="str">
        <f t="shared" si="22"/>
        <v/>
      </c>
      <c r="Y202" s="301" t="str">
        <f t="shared" si="23"/>
        <v/>
      </c>
      <c r="AA202" s="328" t="str">
        <f t="shared" si="24"/>
        <v/>
      </c>
      <c r="AB202" s="328" t="str">
        <f t="shared" si="25"/>
        <v/>
      </c>
    </row>
    <row r="203" spans="2:28">
      <c r="D203" s="291"/>
      <c r="O203" s="464" t="str">
        <f t="shared" si="15"/>
        <v/>
      </c>
      <c r="P203" s="464" t="str">
        <f t="shared" si="16"/>
        <v/>
      </c>
      <c r="Q203" s="301" t="str">
        <f t="shared" si="17"/>
        <v/>
      </c>
      <c r="S203" s="464" t="str">
        <f t="shared" si="18"/>
        <v/>
      </c>
      <c r="T203" s="464" t="str">
        <f t="shared" si="19"/>
        <v/>
      </c>
      <c r="U203" s="301" t="str">
        <f t="shared" si="20"/>
        <v/>
      </c>
      <c r="W203" s="464" t="str">
        <f t="shared" si="21"/>
        <v/>
      </c>
      <c r="X203" s="464" t="str">
        <f t="shared" si="22"/>
        <v/>
      </c>
      <c r="Y203" s="301" t="str">
        <f t="shared" si="23"/>
        <v/>
      </c>
      <c r="AA203" s="328" t="str">
        <f t="shared" si="24"/>
        <v/>
      </c>
      <c r="AB203" s="328" t="str">
        <f t="shared" si="25"/>
        <v/>
      </c>
    </row>
    <row r="204" spans="2:28">
      <c r="D204" s="291"/>
      <c r="O204" s="464" t="e">
        <f>IF(#REF!&lt;&gt;"",IF(AND(#REF!=#REF!,#REF!=#REF!),1,0),"")</f>
        <v>#REF!</v>
      </c>
      <c r="P204" s="464" t="e">
        <f>IF(#REF!&lt;&gt;"",IF(AND(#REF!=#REF!,#REF!=#REF!,#REF!=#REF!),1,0),"")</f>
        <v>#REF!</v>
      </c>
      <c r="Q204" s="301" t="e">
        <f>IF(O204&lt;&gt;"",IF(O204&lt;&gt;P204,#REF!,""),"")</f>
        <v>#REF!</v>
      </c>
      <c r="S204" s="464" t="e">
        <f>IF(#REF!&lt;&gt;"",IF(AND(#REF!=#REF!,#REF!=#REF!),1,0),"")</f>
        <v>#REF!</v>
      </c>
      <c r="T204" s="464" t="e">
        <f>IF(#REF!&lt;&gt;"",IF(AND(#REF!=#REF!,#REF!=#REF!,#REF!=#REF!),1,0),"")</f>
        <v>#REF!</v>
      </c>
      <c r="U204" s="301" t="e">
        <f>IF(S204&lt;&gt;"",IF(S204&lt;&gt;T204,#REF!,""),"")</f>
        <v>#REF!</v>
      </c>
      <c r="W204" s="464" t="e">
        <f>IF(#REF!&lt;&gt;"",IF(AND(#REF!=#REF!,#REF!=#REF!),1,0),"")</f>
        <v>#REF!</v>
      </c>
      <c r="X204" s="464" t="e">
        <f>IF(#REF!&lt;&gt;"",IF(AND(#REF!=#REF!,#REF!=#REF!,#REF!=#REF!),1,0),"")</f>
        <v>#REF!</v>
      </c>
      <c r="Y204" s="301" t="e">
        <f>IF(W204&lt;&gt;"",IF(W204&lt;&gt;X204,#REF!,""),"")</f>
        <v>#REF!</v>
      </c>
      <c r="AA204" s="328" t="e">
        <f>IF(#REF!&lt;&gt;"",IF(OR(SUM(#REF!)=9,SUM(#REF!)=0),1,0),"")</f>
        <v>#REF!</v>
      </c>
      <c r="AB204" s="328" t="e">
        <f t="shared" si="25"/>
        <v>#REF!</v>
      </c>
    </row>
    <row r="205" spans="2:28">
      <c r="D205" s="291"/>
      <c r="O205" s="464" t="e">
        <f>IF(#REF!&lt;&gt;"",IF(AND(#REF!=#REF!,#REF!=#REF!),1,0),"")</f>
        <v>#REF!</v>
      </c>
      <c r="P205" s="464" t="e">
        <f>IF(#REF!&lt;&gt;"",IF(AND(#REF!=#REF!,#REF!=#REF!,#REF!=#REF!),1,0),"")</f>
        <v>#REF!</v>
      </c>
      <c r="Q205" s="301" t="e">
        <f>IF(O205&lt;&gt;"",IF(O205&lt;&gt;P205,#REF!,""),"")</f>
        <v>#REF!</v>
      </c>
      <c r="S205" s="464" t="e">
        <f>IF(#REF!&lt;&gt;"",IF(AND(#REF!=#REF!,#REF!=#REF!),1,0),"")</f>
        <v>#REF!</v>
      </c>
      <c r="T205" s="464" t="e">
        <f>IF(#REF!&lt;&gt;"",IF(AND(#REF!=#REF!,#REF!=#REF!,#REF!=#REF!),1,0),"")</f>
        <v>#REF!</v>
      </c>
      <c r="U205" s="301" t="e">
        <f>IF(S205&lt;&gt;"",IF(S205&lt;&gt;T205,#REF!,""),"")</f>
        <v>#REF!</v>
      </c>
      <c r="W205" s="464" t="e">
        <f>IF(#REF!&lt;&gt;"",IF(AND(#REF!=#REF!,#REF!=#REF!),1,0),"")</f>
        <v>#REF!</v>
      </c>
      <c r="X205" s="464" t="e">
        <f>IF(#REF!&lt;&gt;"",IF(AND(#REF!=#REF!,#REF!=#REF!,#REF!=#REF!),1,0),"")</f>
        <v>#REF!</v>
      </c>
      <c r="Y205" s="301" t="e">
        <f>IF(W205&lt;&gt;"",IF(W205&lt;&gt;X205,#REF!,""),"")</f>
        <v>#REF!</v>
      </c>
      <c r="AA205" s="328" t="e">
        <f>IF(#REF!&lt;&gt;"",IF(OR(SUM(#REF!)=9,SUM(#REF!)=0),1,0),"")</f>
        <v>#REF!</v>
      </c>
      <c r="AB205" s="328" t="e">
        <f t="shared" si="25"/>
        <v>#REF!</v>
      </c>
    </row>
    <row r="206" spans="2:28">
      <c r="D206" s="291"/>
      <c r="O206" s="464" t="e">
        <f>IF(#REF!&lt;&gt;"",IF(AND(#REF!=#REF!,#REF!=#REF!),1,0),"")</f>
        <v>#REF!</v>
      </c>
      <c r="P206" s="464" t="e">
        <f>IF(#REF!&lt;&gt;"",IF(AND(#REF!=#REF!,#REF!=#REF!,#REF!=#REF!),1,0),"")</f>
        <v>#REF!</v>
      </c>
      <c r="Q206" s="301" t="e">
        <f>IF(O206&lt;&gt;"",IF(O206&lt;&gt;P206,#REF!,""),"")</f>
        <v>#REF!</v>
      </c>
      <c r="S206" s="464" t="e">
        <f>IF(#REF!&lt;&gt;"",IF(AND(#REF!=#REF!,#REF!=#REF!),1,0),"")</f>
        <v>#REF!</v>
      </c>
      <c r="T206" s="464" t="e">
        <f>IF(#REF!&lt;&gt;"",IF(AND(#REF!=#REF!,#REF!=#REF!,#REF!=#REF!),1,0),"")</f>
        <v>#REF!</v>
      </c>
      <c r="U206" s="301" t="e">
        <f>IF(S206&lt;&gt;"",IF(S206&lt;&gt;T206,#REF!,""),"")</f>
        <v>#REF!</v>
      </c>
      <c r="W206" s="464" t="e">
        <f>IF(#REF!&lt;&gt;"",IF(AND(#REF!=#REF!,#REF!=#REF!),1,0),"")</f>
        <v>#REF!</v>
      </c>
      <c r="X206" s="464" t="e">
        <f>IF(#REF!&lt;&gt;"",IF(AND(#REF!=#REF!,#REF!=#REF!,#REF!=#REF!),1,0),"")</f>
        <v>#REF!</v>
      </c>
      <c r="Y206" s="301" t="e">
        <f>IF(W206&lt;&gt;"",IF(W206&lt;&gt;X206,#REF!,""),"")</f>
        <v>#REF!</v>
      </c>
      <c r="AA206" s="328" t="e">
        <f>IF(#REF!&lt;&gt;"",IF(OR(SUM(#REF!)=9,SUM(#REF!)=0),1,0),"")</f>
        <v>#REF!</v>
      </c>
      <c r="AB206" s="328" t="e">
        <f t="shared" si="25"/>
        <v>#REF!</v>
      </c>
    </row>
    <row r="207" spans="2:28">
      <c r="D207" s="291"/>
      <c r="N207" s="326"/>
      <c r="O207" s="464"/>
      <c r="P207" s="464"/>
      <c r="S207" s="464"/>
      <c r="T207" s="464"/>
      <c r="U207" s="301"/>
      <c r="W207" s="464"/>
      <c r="X207" s="464"/>
      <c r="Y207" s="301"/>
      <c r="AA207" s="328"/>
      <c r="AB207" s="328"/>
    </row>
    <row r="208" spans="2:28">
      <c r="D208" s="291"/>
      <c r="N208" s="326"/>
      <c r="O208" s="464"/>
      <c r="P208" s="464"/>
      <c r="S208" s="464"/>
      <c r="T208" s="464"/>
      <c r="U208" s="301"/>
      <c r="W208" s="464"/>
      <c r="X208" s="464"/>
      <c r="Y208" s="301"/>
      <c r="AA208" s="328"/>
      <c r="AB208" s="328"/>
    </row>
    <row r="209" spans="1:28">
      <c r="D209" s="291"/>
      <c r="N209" s="326"/>
      <c r="O209" s="464"/>
      <c r="P209" s="464"/>
      <c r="S209" s="464"/>
      <c r="T209" s="464"/>
      <c r="U209" s="301"/>
      <c r="W209" s="464"/>
      <c r="X209" s="464"/>
      <c r="Y209" s="301"/>
      <c r="AA209" s="328"/>
      <c r="AB209" s="328"/>
    </row>
    <row r="210" spans="1:28" ht="20.25">
      <c r="B210" s="448" t="s">
        <v>397</v>
      </c>
      <c r="D210" s="291"/>
      <c r="N210" s="326"/>
      <c r="O210" s="464"/>
      <c r="P210" s="464"/>
      <c r="S210" s="464"/>
      <c r="T210" s="464"/>
      <c r="U210" s="301"/>
      <c r="W210" s="464"/>
      <c r="X210" s="464"/>
      <c r="Y210" s="301"/>
      <c r="AA210" s="328"/>
      <c r="AB210" s="328"/>
    </row>
    <row r="211" spans="1:28">
      <c r="D211" s="291"/>
      <c r="O211" s="464" t="str">
        <f t="shared" ref="O211:O220" si="26">IF(B53&lt;&gt;"",IF(AND(B53=C53,C53=D53),1,0),"")</f>
        <v/>
      </c>
      <c r="P211" s="464" t="str">
        <f t="shared" ref="P211:P220" si="27">IF(B53&lt;&gt;"",IF(AND(B53=C53,C53=D53,D53=K53),1,0),"")</f>
        <v/>
      </c>
      <c r="Q211" s="301" t="str">
        <f t="shared" ref="Q211:Q220" si="28">IF(O211&lt;&gt;"",IF(O211&lt;&gt;P211,K53,""),"")</f>
        <v/>
      </c>
      <c r="S211" s="464" t="str">
        <f t="shared" ref="S211:S220" si="29">IF(E53&lt;&gt;"",IF(AND(E53=F53,E53=G53),1,0),"")</f>
        <v/>
      </c>
      <c r="T211" s="464" t="str">
        <f t="shared" ref="T211:T220" si="30">IF(E53&lt;&gt;"",IF(AND(E53=F53,F53=G53,G53=K53),1,0),"")</f>
        <v/>
      </c>
      <c r="U211" s="301" t="str">
        <f t="shared" ref="U211:U220" si="31">IF(S211&lt;&gt;"",IF(S211&lt;&gt;T211,K53,""),"")</f>
        <v/>
      </c>
      <c r="W211" s="464" t="str">
        <f t="shared" ref="W211:W220" si="32">IF(H53&lt;&gt;"",IF(AND(H53=I53,I53=J53),1,0),"")</f>
        <v/>
      </c>
      <c r="X211" s="464" t="str">
        <f t="shared" ref="X211:X220" si="33">IF(H53&lt;&gt;"",IF(AND(H53=I53,I53=J53,J53=K53),1,0),"")</f>
        <v/>
      </c>
      <c r="Y211" s="301" t="str">
        <f t="shared" ref="Y211:Y220" si="34">IF(W211&lt;&gt;"",IF(W211&lt;&gt;X211,K53,""),"")</f>
        <v/>
      </c>
      <c r="AA211" s="328" t="str">
        <f t="shared" ref="AA211:AA220" si="35">IF(B53&lt;&gt;"",IF(OR(SUM(B53:J53)=9,SUM(B53:J53)=0),1,0),"")</f>
        <v/>
      </c>
      <c r="AB211" s="328" t="str">
        <f t="shared" ref="AB211:AB220" si="36">IF(X211&lt;&gt;"",IF(P211+T211+X211=3,1,0),"")</f>
        <v/>
      </c>
    </row>
    <row r="212" spans="1:28">
      <c r="A212" s="291"/>
      <c r="B212" s="762" t="s">
        <v>546</v>
      </c>
      <c r="C212" s="762"/>
      <c r="D212" s="762"/>
      <c r="E212" s="762"/>
      <c r="F212" s="762"/>
      <c r="G212" s="762"/>
      <c r="H212" s="762"/>
      <c r="I212" s="762"/>
      <c r="J212" s="762"/>
      <c r="K212" s="762"/>
      <c r="L212" s="291"/>
      <c r="M212" s="291"/>
      <c r="O212" s="464" t="str">
        <f t="shared" si="26"/>
        <v/>
      </c>
      <c r="P212" s="464" t="str">
        <f t="shared" si="27"/>
        <v/>
      </c>
      <c r="Q212" s="301" t="str">
        <f t="shared" si="28"/>
        <v/>
      </c>
      <c r="S212" s="464" t="str">
        <f t="shared" si="29"/>
        <v/>
      </c>
      <c r="T212" s="464" t="str">
        <f t="shared" si="30"/>
        <v/>
      </c>
      <c r="U212" s="301" t="str">
        <f t="shared" si="31"/>
        <v/>
      </c>
      <c r="W212" s="464" t="str">
        <f t="shared" si="32"/>
        <v/>
      </c>
      <c r="X212" s="464" t="str">
        <f t="shared" si="33"/>
        <v/>
      </c>
      <c r="Y212" s="301" t="str">
        <f t="shared" si="34"/>
        <v/>
      </c>
      <c r="AA212" s="328" t="str">
        <f t="shared" si="35"/>
        <v/>
      </c>
      <c r="AB212" s="328" t="str">
        <f t="shared" si="36"/>
        <v/>
      </c>
    </row>
    <row r="213" spans="1:28">
      <c r="A213" s="291"/>
      <c r="B213" s="808" t="s">
        <v>545</v>
      </c>
      <c r="C213" s="808"/>
      <c r="D213" s="808"/>
      <c r="E213" s="808"/>
      <c r="F213" s="808" t="s">
        <v>542</v>
      </c>
      <c r="G213" s="808"/>
      <c r="H213" s="808"/>
      <c r="I213" s="808" t="s">
        <v>543</v>
      </c>
      <c r="J213" s="808"/>
      <c r="K213" s="808" t="s">
        <v>544</v>
      </c>
      <c r="L213" s="291"/>
      <c r="M213" s="291"/>
      <c r="O213" s="464" t="str">
        <f t="shared" si="26"/>
        <v/>
      </c>
      <c r="P213" s="464" t="str">
        <f t="shared" si="27"/>
        <v/>
      </c>
      <c r="Q213" s="301" t="str">
        <f t="shared" si="28"/>
        <v/>
      </c>
      <c r="S213" s="464" t="str">
        <f t="shared" si="29"/>
        <v/>
      </c>
      <c r="T213" s="464" t="str">
        <f t="shared" si="30"/>
        <v/>
      </c>
      <c r="U213" s="301" t="str">
        <f t="shared" si="31"/>
        <v/>
      </c>
      <c r="W213" s="464" t="str">
        <f t="shared" si="32"/>
        <v/>
      </c>
      <c r="X213" s="464" t="str">
        <f t="shared" si="33"/>
        <v/>
      </c>
      <c r="Y213" s="301" t="str">
        <f t="shared" si="34"/>
        <v/>
      </c>
      <c r="AA213" s="328" t="str">
        <f t="shared" si="35"/>
        <v/>
      </c>
      <c r="AB213" s="328" t="str">
        <f t="shared" si="36"/>
        <v/>
      </c>
    </row>
    <row r="214" spans="1:28">
      <c r="A214" s="291"/>
      <c r="B214" s="808"/>
      <c r="C214" s="808"/>
      <c r="D214" s="808"/>
      <c r="E214" s="808"/>
      <c r="F214" s="808"/>
      <c r="G214" s="808"/>
      <c r="H214" s="808"/>
      <c r="I214" s="808"/>
      <c r="J214" s="808"/>
      <c r="K214" s="808"/>
      <c r="L214" s="291"/>
      <c r="M214" s="291"/>
      <c r="O214" s="464" t="str">
        <f t="shared" si="26"/>
        <v/>
      </c>
      <c r="P214" s="464" t="str">
        <f t="shared" si="27"/>
        <v/>
      </c>
      <c r="Q214" s="301" t="str">
        <f t="shared" si="28"/>
        <v/>
      </c>
      <c r="S214" s="464" t="str">
        <f t="shared" si="29"/>
        <v/>
      </c>
      <c r="T214" s="464" t="str">
        <f t="shared" si="30"/>
        <v/>
      </c>
      <c r="U214" s="301" t="str">
        <f t="shared" si="31"/>
        <v/>
      </c>
      <c r="W214" s="464" t="str">
        <f t="shared" si="32"/>
        <v/>
      </c>
      <c r="X214" s="464" t="str">
        <f t="shared" si="33"/>
        <v/>
      </c>
      <c r="Y214" s="301" t="str">
        <f t="shared" si="34"/>
        <v/>
      </c>
      <c r="AA214" s="328" t="str">
        <f t="shared" si="35"/>
        <v/>
      </c>
      <c r="AB214" s="328" t="str">
        <f t="shared" si="36"/>
        <v/>
      </c>
    </row>
    <row r="215" spans="1:28">
      <c r="A215" s="291"/>
      <c r="B215" s="807" t="s">
        <v>547</v>
      </c>
      <c r="C215" s="807"/>
      <c r="D215" s="807"/>
      <c r="E215" s="807"/>
      <c r="F215" s="807" t="s">
        <v>550</v>
      </c>
      <c r="G215" s="807"/>
      <c r="H215" s="807"/>
      <c r="I215" s="807" t="s">
        <v>553</v>
      </c>
      <c r="J215" s="807"/>
      <c r="K215" s="807" t="s">
        <v>554</v>
      </c>
      <c r="L215" s="291"/>
      <c r="M215" s="291"/>
      <c r="O215" s="464" t="str">
        <f t="shared" si="26"/>
        <v/>
      </c>
      <c r="P215" s="464" t="str">
        <f t="shared" si="27"/>
        <v/>
      </c>
      <c r="Q215" s="301" t="str">
        <f t="shared" si="28"/>
        <v/>
      </c>
      <c r="S215" s="464" t="str">
        <f t="shared" si="29"/>
        <v/>
      </c>
      <c r="T215" s="464" t="str">
        <f t="shared" si="30"/>
        <v/>
      </c>
      <c r="U215" s="301" t="str">
        <f t="shared" si="31"/>
        <v/>
      </c>
      <c r="W215" s="464" t="str">
        <f t="shared" si="32"/>
        <v/>
      </c>
      <c r="X215" s="464" t="str">
        <f t="shared" si="33"/>
        <v/>
      </c>
      <c r="Y215" s="301" t="str">
        <f t="shared" si="34"/>
        <v/>
      </c>
      <c r="AA215" s="328" t="str">
        <f t="shared" si="35"/>
        <v/>
      </c>
      <c r="AB215" s="328" t="str">
        <f t="shared" si="36"/>
        <v/>
      </c>
    </row>
    <row r="216" spans="1:28">
      <c r="A216" s="291"/>
      <c r="B216" s="807"/>
      <c r="C216" s="807"/>
      <c r="D216" s="807"/>
      <c r="E216" s="807"/>
      <c r="F216" s="807"/>
      <c r="G216" s="807"/>
      <c r="H216" s="807"/>
      <c r="I216" s="807"/>
      <c r="J216" s="807"/>
      <c r="K216" s="807"/>
      <c r="L216" s="291"/>
      <c r="M216" s="291"/>
      <c r="O216" s="464" t="str">
        <f t="shared" si="26"/>
        <v/>
      </c>
      <c r="P216" s="464" t="str">
        <f t="shared" si="27"/>
        <v/>
      </c>
      <c r="Q216" s="301" t="str">
        <f t="shared" si="28"/>
        <v/>
      </c>
      <c r="S216" s="464" t="str">
        <f t="shared" si="29"/>
        <v/>
      </c>
      <c r="T216" s="464" t="str">
        <f t="shared" si="30"/>
        <v/>
      </c>
      <c r="U216" s="301" t="str">
        <f t="shared" si="31"/>
        <v/>
      </c>
      <c r="W216" s="464" t="str">
        <f t="shared" si="32"/>
        <v/>
      </c>
      <c r="X216" s="464" t="str">
        <f t="shared" si="33"/>
        <v/>
      </c>
      <c r="Y216" s="301" t="str">
        <f t="shared" si="34"/>
        <v/>
      </c>
      <c r="AA216" s="328" t="str">
        <f t="shared" si="35"/>
        <v/>
      </c>
      <c r="AB216" s="328" t="str">
        <f t="shared" si="36"/>
        <v/>
      </c>
    </row>
    <row r="217" spans="1:28" ht="12.75" customHeight="1">
      <c r="A217" s="291"/>
      <c r="B217" s="807" t="s">
        <v>548</v>
      </c>
      <c r="C217" s="807"/>
      <c r="D217" s="807"/>
      <c r="E217" s="807"/>
      <c r="F217" s="807" t="s">
        <v>551</v>
      </c>
      <c r="G217" s="807"/>
      <c r="H217" s="807"/>
      <c r="I217" s="807" t="s">
        <v>554</v>
      </c>
      <c r="J217" s="807"/>
      <c r="K217" s="807" t="s">
        <v>556</v>
      </c>
      <c r="L217" s="291"/>
      <c r="M217" s="291"/>
      <c r="O217" s="464" t="str">
        <f t="shared" si="26"/>
        <v/>
      </c>
      <c r="P217" s="464" t="str">
        <f t="shared" si="27"/>
        <v/>
      </c>
      <c r="Q217" s="301" t="str">
        <f t="shared" si="28"/>
        <v/>
      </c>
      <c r="S217" s="464" t="str">
        <f t="shared" si="29"/>
        <v/>
      </c>
      <c r="T217" s="464" t="str">
        <f t="shared" si="30"/>
        <v/>
      </c>
      <c r="U217" s="301" t="str">
        <f t="shared" si="31"/>
        <v/>
      </c>
      <c r="W217" s="464" t="str">
        <f t="shared" si="32"/>
        <v/>
      </c>
      <c r="X217" s="464" t="str">
        <f t="shared" si="33"/>
        <v/>
      </c>
      <c r="Y217" s="301" t="str">
        <f t="shared" si="34"/>
        <v/>
      </c>
      <c r="AA217" s="328" t="str">
        <f t="shared" si="35"/>
        <v/>
      </c>
      <c r="AB217" s="328" t="str">
        <f t="shared" si="36"/>
        <v/>
      </c>
    </row>
    <row r="218" spans="1:28">
      <c r="A218" s="291"/>
      <c r="B218" s="807"/>
      <c r="C218" s="807"/>
      <c r="D218" s="807"/>
      <c r="E218" s="807"/>
      <c r="F218" s="807"/>
      <c r="G218" s="807"/>
      <c r="H218" s="807"/>
      <c r="I218" s="807"/>
      <c r="J218" s="807"/>
      <c r="K218" s="807"/>
      <c r="L218" s="291"/>
      <c r="M218" s="291"/>
      <c r="O218" s="464" t="str">
        <f t="shared" si="26"/>
        <v/>
      </c>
      <c r="P218" s="464" t="str">
        <f t="shared" si="27"/>
        <v/>
      </c>
      <c r="Q218" s="301" t="str">
        <f t="shared" si="28"/>
        <v/>
      </c>
      <c r="S218" s="464" t="str">
        <f t="shared" si="29"/>
        <v/>
      </c>
      <c r="T218" s="464" t="str">
        <f t="shared" si="30"/>
        <v/>
      </c>
      <c r="U218" s="301" t="str">
        <f t="shared" si="31"/>
        <v/>
      </c>
      <c r="W218" s="464" t="str">
        <f t="shared" si="32"/>
        <v/>
      </c>
      <c r="X218" s="464" t="str">
        <f t="shared" si="33"/>
        <v/>
      </c>
      <c r="Y218" s="301" t="str">
        <f t="shared" si="34"/>
        <v/>
      </c>
      <c r="AA218" s="328" t="str">
        <f t="shared" si="35"/>
        <v/>
      </c>
      <c r="AB218" s="328" t="str">
        <f t="shared" si="36"/>
        <v/>
      </c>
    </row>
    <row r="219" spans="1:28">
      <c r="A219" s="291"/>
      <c r="B219" s="807"/>
      <c r="C219" s="807"/>
      <c r="D219" s="807"/>
      <c r="E219" s="807"/>
      <c r="F219" s="807"/>
      <c r="G219" s="807"/>
      <c r="H219" s="807"/>
      <c r="I219" s="807"/>
      <c r="J219" s="807"/>
      <c r="K219" s="807"/>
      <c r="L219" s="291"/>
      <c r="M219" s="291"/>
      <c r="O219" s="464" t="str">
        <f t="shared" si="26"/>
        <v/>
      </c>
      <c r="P219" s="464" t="str">
        <f t="shared" si="27"/>
        <v/>
      </c>
      <c r="Q219" s="301" t="str">
        <f t="shared" si="28"/>
        <v/>
      </c>
      <c r="S219" s="464" t="str">
        <f t="shared" si="29"/>
        <v/>
      </c>
      <c r="T219" s="464" t="str">
        <f t="shared" si="30"/>
        <v/>
      </c>
      <c r="U219" s="301" t="str">
        <f t="shared" si="31"/>
        <v/>
      </c>
      <c r="W219" s="464" t="str">
        <f t="shared" si="32"/>
        <v/>
      </c>
      <c r="X219" s="464" t="str">
        <f t="shared" si="33"/>
        <v/>
      </c>
      <c r="Y219" s="301" t="str">
        <f t="shared" si="34"/>
        <v/>
      </c>
      <c r="AA219" s="328" t="str">
        <f t="shared" si="35"/>
        <v/>
      </c>
      <c r="AB219" s="328" t="str">
        <f t="shared" si="36"/>
        <v/>
      </c>
    </row>
    <row r="220" spans="1:28" ht="12.75" customHeight="1">
      <c r="A220" s="291"/>
      <c r="B220" s="807" t="s">
        <v>549</v>
      </c>
      <c r="C220" s="807"/>
      <c r="D220" s="807"/>
      <c r="E220" s="807"/>
      <c r="F220" s="807" t="s">
        <v>552</v>
      </c>
      <c r="G220" s="807"/>
      <c r="H220" s="807"/>
      <c r="I220" s="807" t="s">
        <v>555</v>
      </c>
      <c r="J220" s="807"/>
      <c r="K220" s="807" t="s">
        <v>557</v>
      </c>
      <c r="L220" s="291"/>
      <c r="M220" s="291"/>
      <c r="O220" s="464" t="str">
        <f t="shared" si="26"/>
        <v/>
      </c>
      <c r="P220" s="464" t="str">
        <f t="shared" si="27"/>
        <v/>
      </c>
      <c r="Q220" s="301" t="str">
        <f t="shared" si="28"/>
        <v/>
      </c>
      <c r="S220" s="464" t="str">
        <f t="shared" si="29"/>
        <v/>
      </c>
      <c r="T220" s="464" t="str">
        <f t="shared" si="30"/>
        <v/>
      </c>
      <c r="U220" s="301" t="str">
        <f t="shared" si="31"/>
        <v/>
      </c>
      <c r="W220" s="464" t="str">
        <f t="shared" si="32"/>
        <v/>
      </c>
      <c r="X220" s="464" t="str">
        <f t="shared" si="33"/>
        <v/>
      </c>
      <c r="Y220" s="301" t="str">
        <f t="shared" si="34"/>
        <v/>
      </c>
      <c r="AA220" s="328" t="str">
        <f t="shared" si="35"/>
        <v/>
      </c>
      <c r="AB220" s="328" t="str">
        <f t="shared" si="36"/>
        <v/>
      </c>
    </row>
    <row r="221" spans="1:28">
      <c r="A221" s="291"/>
      <c r="B221" s="807"/>
      <c r="C221" s="807"/>
      <c r="D221" s="807"/>
      <c r="E221" s="807"/>
      <c r="F221" s="807"/>
      <c r="G221" s="807"/>
      <c r="H221" s="807"/>
      <c r="I221" s="807"/>
      <c r="J221" s="807"/>
      <c r="K221" s="807"/>
      <c r="L221" s="291"/>
      <c r="M221" s="291"/>
    </row>
    <row r="222" spans="1:28">
      <c r="A222" s="291"/>
      <c r="B222" s="807"/>
      <c r="C222" s="807"/>
      <c r="D222" s="807"/>
      <c r="E222" s="807"/>
      <c r="F222" s="807"/>
      <c r="G222" s="807"/>
      <c r="H222" s="807"/>
      <c r="I222" s="807"/>
      <c r="J222" s="807"/>
      <c r="K222" s="807"/>
      <c r="L222" s="291"/>
      <c r="M222" s="291"/>
    </row>
    <row r="223" spans="1:28">
      <c r="A223" s="291"/>
      <c r="L223" s="291"/>
      <c r="M223" s="291"/>
    </row>
    <row r="224" spans="1:28">
      <c r="A224" s="291"/>
      <c r="B224" s="762" t="s">
        <v>558</v>
      </c>
      <c r="C224" s="762"/>
      <c r="D224" s="762"/>
      <c r="E224" s="762"/>
      <c r="F224" s="762"/>
      <c r="G224" s="762"/>
      <c r="H224" s="762"/>
      <c r="I224" s="762"/>
      <c r="J224" s="762"/>
      <c r="K224" s="762"/>
      <c r="L224" s="291"/>
      <c r="M224" s="291"/>
    </row>
    <row r="225" spans="2:12">
      <c r="B225" s="808" t="s">
        <v>581</v>
      </c>
      <c r="C225" s="808"/>
      <c r="D225" s="808"/>
      <c r="E225" s="808"/>
      <c r="F225" s="808" t="s">
        <v>542</v>
      </c>
      <c r="G225" s="808"/>
      <c r="H225" s="808"/>
      <c r="I225" s="808" t="s">
        <v>543</v>
      </c>
      <c r="J225" s="808"/>
      <c r="K225" s="808" t="s">
        <v>544</v>
      </c>
    </row>
    <row r="226" spans="2:12">
      <c r="B226" s="808"/>
      <c r="C226" s="808"/>
      <c r="D226" s="808"/>
      <c r="E226" s="808"/>
      <c r="F226" s="808"/>
      <c r="G226" s="808"/>
      <c r="H226" s="808"/>
      <c r="I226" s="808"/>
      <c r="J226" s="808"/>
      <c r="K226" s="808"/>
    </row>
    <row r="227" spans="2:12">
      <c r="B227" s="807" t="s">
        <v>134</v>
      </c>
      <c r="C227" s="807"/>
      <c r="D227" s="807"/>
      <c r="E227" s="807"/>
      <c r="F227" s="809" t="str">
        <f>K173</f>
        <v/>
      </c>
      <c r="G227" s="807"/>
      <c r="H227" s="807"/>
      <c r="I227" s="809" t="str">
        <f>IF(K14&lt;&gt;"",I122/(COUNTIF($K$14:$K$62,"=1")*3),"")</f>
        <v/>
      </c>
      <c r="J227" s="809"/>
      <c r="K227" s="809" t="str">
        <f>IF(K14&lt;&gt;"",(G124+I122)/(COUNTIF($K$14:$K$62,"=1")*3),"")</f>
        <v/>
      </c>
    </row>
    <row r="228" spans="2:12">
      <c r="B228" s="807"/>
      <c r="C228" s="807"/>
      <c r="D228" s="807"/>
      <c r="E228" s="807"/>
      <c r="F228" s="807"/>
      <c r="G228" s="807"/>
      <c r="H228" s="807"/>
      <c r="I228" s="809"/>
      <c r="J228" s="809"/>
      <c r="K228" s="809"/>
    </row>
    <row r="229" spans="2:12">
      <c r="B229" s="807" t="s">
        <v>39</v>
      </c>
      <c r="C229" s="807"/>
      <c r="D229" s="807"/>
      <c r="E229" s="807"/>
      <c r="F229" s="809" t="str">
        <f>L173</f>
        <v/>
      </c>
      <c r="G229" s="809"/>
      <c r="H229" s="809"/>
      <c r="I229" s="809" t="str">
        <f>IF(K14&lt;&gt;"",I134/(COUNTIF($K$14:$K$62,"=1")*3),"")</f>
        <v/>
      </c>
      <c r="J229" s="809"/>
      <c r="K229" s="809" t="str">
        <f>IF(K14&lt;&gt;"",(G136+I134)/(COUNTIF($K$14:$K$62,"=1")*3),"")</f>
        <v/>
      </c>
    </row>
    <row r="230" spans="2:12">
      <c r="B230" s="807"/>
      <c r="C230" s="807"/>
      <c r="D230" s="807"/>
      <c r="E230" s="807"/>
      <c r="F230" s="809"/>
      <c r="G230" s="809"/>
      <c r="H230" s="809"/>
      <c r="I230" s="809"/>
      <c r="J230" s="809"/>
      <c r="K230" s="809"/>
    </row>
    <row r="231" spans="2:12">
      <c r="B231" s="807" t="s">
        <v>640</v>
      </c>
      <c r="C231" s="807"/>
      <c r="D231" s="807"/>
      <c r="E231" s="807"/>
      <c r="F231" s="809" t="str">
        <f>M173</f>
        <v/>
      </c>
      <c r="G231" s="807"/>
      <c r="H231" s="807"/>
      <c r="I231" s="809" t="str">
        <f>IF(K14&lt;&gt;"",I147/(COUNTIF($K$14:$K$62,"=1")*3),"")</f>
        <v/>
      </c>
      <c r="J231" s="809"/>
      <c r="K231" s="809" t="str">
        <f>IF(K14&lt;&gt;"",(G149+I147)/(COUNTIF($K$14:$K$62,"=1")*3),"")</f>
        <v/>
      </c>
    </row>
    <row r="232" spans="2:12">
      <c r="B232" s="807"/>
      <c r="C232" s="807"/>
      <c r="D232" s="807"/>
      <c r="E232" s="807"/>
      <c r="F232" s="807"/>
      <c r="G232" s="807"/>
      <c r="H232" s="807"/>
      <c r="I232" s="809"/>
      <c r="J232" s="809"/>
      <c r="K232" s="809"/>
    </row>
    <row r="235" spans="2:12" ht="20.25">
      <c r="B235" s="448" t="s">
        <v>398</v>
      </c>
    </row>
    <row r="236" spans="2:12">
      <c r="B236" s="325"/>
      <c r="C236" s="325"/>
      <c r="D236" s="325"/>
      <c r="E236" s="325"/>
      <c r="F236" s="325"/>
      <c r="G236" s="325"/>
      <c r="H236" s="325"/>
      <c r="I236" s="325"/>
      <c r="J236" s="325"/>
      <c r="K236" s="325"/>
      <c r="L236" s="325"/>
    </row>
    <row r="237" spans="2:12">
      <c r="B237" s="335"/>
      <c r="C237" s="335"/>
      <c r="D237" s="335"/>
      <c r="E237" s="335"/>
      <c r="F237" s="335"/>
      <c r="G237" s="335"/>
      <c r="H237" s="335"/>
      <c r="I237" s="335"/>
      <c r="J237" s="335"/>
      <c r="K237" s="335"/>
      <c r="L237" s="335"/>
    </row>
    <row r="238" spans="2:12">
      <c r="B238" s="335"/>
      <c r="C238" s="335"/>
      <c r="D238" s="335"/>
      <c r="E238" s="335"/>
      <c r="F238" s="335"/>
      <c r="G238" s="335"/>
      <c r="H238" s="335"/>
      <c r="I238" s="335"/>
      <c r="J238" s="335"/>
      <c r="K238" s="335"/>
      <c r="L238" s="335"/>
    </row>
    <row r="239" spans="2:12">
      <c r="B239" s="335"/>
      <c r="C239" s="335"/>
      <c r="D239" s="335"/>
      <c r="E239" s="335"/>
      <c r="F239" s="335"/>
      <c r="G239" s="335"/>
      <c r="H239" s="335"/>
      <c r="I239" s="335"/>
      <c r="J239" s="335"/>
      <c r="K239" s="335"/>
      <c r="L239" s="335"/>
    </row>
    <row r="241" spans="2:12">
      <c r="B241" s="325"/>
      <c r="C241" s="291" t="s">
        <v>399</v>
      </c>
      <c r="H241" s="325"/>
      <c r="I241" s="325"/>
      <c r="J241" s="325"/>
      <c r="K241" s="325"/>
      <c r="L241" s="325"/>
    </row>
    <row r="242" spans="2:12">
      <c r="B242" s="335"/>
      <c r="C242" s="291" t="s">
        <v>400</v>
      </c>
      <c r="H242" s="291" t="s">
        <v>401</v>
      </c>
      <c r="L242" s="328" t="s">
        <v>41</v>
      </c>
    </row>
  </sheetData>
  <mergeCells count="234">
    <mergeCell ref="B231:E232"/>
    <mergeCell ref="F231:H232"/>
    <mergeCell ref="I231:J232"/>
    <mergeCell ref="K231:K232"/>
    <mergeCell ref="B227:E228"/>
    <mergeCell ref="F227:H228"/>
    <mergeCell ref="I227:J228"/>
    <mergeCell ref="K227:K228"/>
    <mergeCell ref="B229:E230"/>
    <mergeCell ref="F229:H230"/>
    <mergeCell ref="I229:J230"/>
    <mergeCell ref="K229:K230"/>
    <mergeCell ref="B220:E222"/>
    <mergeCell ref="F220:H222"/>
    <mergeCell ref="I220:J222"/>
    <mergeCell ref="K220:K222"/>
    <mergeCell ref="B224:K224"/>
    <mergeCell ref="B225:E226"/>
    <mergeCell ref="F225:H226"/>
    <mergeCell ref="I225:J226"/>
    <mergeCell ref="B213:E214"/>
    <mergeCell ref="F213:H214"/>
    <mergeCell ref="I213:J214"/>
    <mergeCell ref="K213:K214"/>
    <mergeCell ref="K225:K226"/>
    <mergeCell ref="B215:E216"/>
    <mergeCell ref="F215:H216"/>
    <mergeCell ref="I215:J216"/>
    <mergeCell ref="K215:K216"/>
    <mergeCell ref="B217:E219"/>
    <mergeCell ref="F217:H219"/>
    <mergeCell ref="I217:J219"/>
    <mergeCell ref="K217:K219"/>
    <mergeCell ref="G182:H182"/>
    <mergeCell ref="B197:K197"/>
    <mergeCell ref="B198:E198"/>
    <mergeCell ref="F198:K198"/>
    <mergeCell ref="B199:E199"/>
    <mergeCell ref="F199:K199"/>
    <mergeCell ref="B200:E200"/>
    <mergeCell ref="F200:K200"/>
    <mergeCell ref="B212:K212"/>
    <mergeCell ref="E174:F174"/>
    <mergeCell ref="G174:H174"/>
    <mergeCell ref="I174:J174"/>
    <mergeCell ref="E177:J177"/>
    <mergeCell ref="K177:M177"/>
    <mergeCell ref="G178:H178"/>
    <mergeCell ref="G179:H179"/>
    <mergeCell ref="G180:H180"/>
    <mergeCell ref="G181:H181"/>
    <mergeCell ref="E168:F168"/>
    <mergeCell ref="G168:H168"/>
    <mergeCell ref="I168:J168"/>
    <mergeCell ref="E172:F172"/>
    <mergeCell ref="G172:H172"/>
    <mergeCell ref="I172:J172"/>
    <mergeCell ref="E173:F173"/>
    <mergeCell ref="G173:H173"/>
    <mergeCell ref="I173:J173"/>
    <mergeCell ref="B162:C162"/>
    <mergeCell ref="D162:F162"/>
    <mergeCell ref="E165:J165"/>
    <mergeCell ref="K165:M165"/>
    <mergeCell ref="E166:F166"/>
    <mergeCell ref="G166:H166"/>
    <mergeCell ref="I166:J166"/>
    <mergeCell ref="E167:F167"/>
    <mergeCell ref="G167:H167"/>
    <mergeCell ref="I167:J167"/>
    <mergeCell ref="B156:C156"/>
    <mergeCell ref="D156:E156"/>
    <mergeCell ref="F156:G156"/>
    <mergeCell ref="H156:I156"/>
    <mergeCell ref="B159:F159"/>
    <mergeCell ref="B160:C160"/>
    <mergeCell ref="D160:F160"/>
    <mergeCell ref="B161:C161"/>
    <mergeCell ref="D161:F161"/>
    <mergeCell ref="B151:C152"/>
    <mergeCell ref="G151:H151"/>
    <mergeCell ref="I151:J151"/>
    <mergeCell ref="G152:H152"/>
    <mergeCell ref="I152:J152"/>
    <mergeCell ref="B155:C155"/>
    <mergeCell ref="D155:E155"/>
    <mergeCell ref="F155:G155"/>
    <mergeCell ref="H155:I155"/>
    <mergeCell ref="B147:B150"/>
    <mergeCell ref="G147:H147"/>
    <mergeCell ref="I147:J147"/>
    <mergeCell ref="G148:H148"/>
    <mergeCell ref="I148:J148"/>
    <mergeCell ref="G149:H149"/>
    <mergeCell ref="I149:J149"/>
    <mergeCell ref="G150:H150"/>
    <mergeCell ref="I150:J150"/>
    <mergeCell ref="B138:C139"/>
    <mergeCell ref="G138:H138"/>
    <mergeCell ref="I138:J138"/>
    <mergeCell ref="G139:H139"/>
    <mergeCell ref="I139:J139"/>
    <mergeCell ref="B143:K143"/>
    <mergeCell ref="G145:J145"/>
    <mergeCell ref="K145:K146"/>
    <mergeCell ref="G146:H146"/>
    <mergeCell ref="I146:J146"/>
    <mergeCell ref="B134:B137"/>
    <mergeCell ref="G134:H134"/>
    <mergeCell ref="I134:J134"/>
    <mergeCell ref="G135:H135"/>
    <mergeCell ref="I135:J135"/>
    <mergeCell ref="G136:H136"/>
    <mergeCell ref="I136:J136"/>
    <mergeCell ref="G137:H137"/>
    <mergeCell ref="I137:J137"/>
    <mergeCell ref="B126:C127"/>
    <mergeCell ref="G126:H126"/>
    <mergeCell ref="I126:J126"/>
    <mergeCell ref="G127:H127"/>
    <mergeCell ref="I127:J127"/>
    <mergeCell ref="B130:K130"/>
    <mergeCell ref="G132:J132"/>
    <mergeCell ref="K132:K133"/>
    <mergeCell ref="G133:H133"/>
    <mergeCell ref="I133:J133"/>
    <mergeCell ref="B122:B125"/>
    <mergeCell ref="G122:H122"/>
    <mergeCell ref="I122:J122"/>
    <mergeCell ref="G123:H123"/>
    <mergeCell ref="I123:J123"/>
    <mergeCell ref="G124:H124"/>
    <mergeCell ref="I124:J124"/>
    <mergeCell ref="G125:H125"/>
    <mergeCell ref="I125:J125"/>
    <mergeCell ref="B112:E112"/>
    <mergeCell ref="C113:E113"/>
    <mergeCell ref="C114:E114"/>
    <mergeCell ref="C115:E115"/>
    <mergeCell ref="B118:K118"/>
    <mergeCell ref="G120:J120"/>
    <mergeCell ref="K120:K121"/>
    <mergeCell ref="G121:H121"/>
    <mergeCell ref="I121:J121"/>
    <mergeCell ref="B107:C107"/>
    <mergeCell ref="D107:E107"/>
    <mergeCell ref="F107:G107"/>
    <mergeCell ref="H107:I107"/>
    <mergeCell ref="B108:C108"/>
    <mergeCell ref="D108:E108"/>
    <mergeCell ref="F108:G108"/>
    <mergeCell ref="H108:I108"/>
    <mergeCell ref="B109:C109"/>
    <mergeCell ref="D109:E109"/>
    <mergeCell ref="F109:G109"/>
    <mergeCell ref="H109:I109"/>
    <mergeCell ref="B102:C103"/>
    <mergeCell ref="G102:H102"/>
    <mergeCell ref="I102:J102"/>
    <mergeCell ref="G103:H103"/>
    <mergeCell ref="I103:J103"/>
    <mergeCell ref="B106:C106"/>
    <mergeCell ref="D106:E106"/>
    <mergeCell ref="F106:G106"/>
    <mergeCell ref="H106:I106"/>
    <mergeCell ref="B98:B101"/>
    <mergeCell ref="G98:H98"/>
    <mergeCell ref="I98:J98"/>
    <mergeCell ref="G99:H99"/>
    <mergeCell ref="I99:J99"/>
    <mergeCell ref="G100:H100"/>
    <mergeCell ref="I100:J100"/>
    <mergeCell ref="G101:H101"/>
    <mergeCell ref="I101:J101"/>
    <mergeCell ref="B89:C90"/>
    <mergeCell ref="G89:H89"/>
    <mergeCell ref="I89:J89"/>
    <mergeCell ref="G90:H90"/>
    <mergeCell ref="I90:J90"/>
    <mergeCell ref="B94:K94"/>
    <mergeCell ref="G96:J96"/>
    <mergeCell ref="K96:K97"/>
    <mergeCell ref="G97:H97"/>
    <mergeCell ref="I97:J97"/>
    <mergeCell ref="B85:B88"/>
    <mergeCell ref="G85:H85"/>
    <mergeCell ref="I85:J85"/>
    <mergeCell ref="G86:H86"/>
    <mergeCell ref="I86:J86"/>
    <mergeCell ref="G87:H87"/>
    <mergeCell ref="I87:J87"/>
    <mergeCell ref="G88:H88"/>
    <mergeCell ref="I88:J88"/>
    <mergeCell ref="B77:C78"/>
    <mergeCell ref="G77:H77"/>
    <mergeCell ref="I77:J77"/>
    <mergeCell ref="G78:H78"/>
    <mergeCell ref="I78:J78"/>
    <mergeCell ref="B81:K81"/>
    <mergeCell ref="G83:J83"/>
    <mergeCell ref="K83:K84"/>
    <mergeCell ref="G84:H84"/>
    <mergeCell ref="I84:J84"/>
    <mergeCell ref="B73:B76"/>
    <mergeCell ref="G73:H73"/>
    <mergeCell ref="I73:J73"/>
    <mergeCell ref="G74:H74"/>
    <mergeCell ref="I74:J74"/>
    <mergeCell ref="G75:H75"/>
    <mergeCell ref="I75:J75"/>
    <mergeCell ref="G76:H76"/>
    <mergeCell ref="I76:J76"/>
    <mergeCell ref="A10:D10"/>
    <mergeCell ref="E10:G10"/>
    <mergeCell ref="H10:J10"/>
    <mergeCell ref="K10:M10"/>
    <mergeCell ref="A12:M12"/>
    <mergeCell ref="A51:M51"/>
    <mergeCell ref="B69:K69"/>
    <mergeCell ref="G71:J71"/>
    <mergeCell ref="K71:K72"/>
    <mergeCell ref="G72:H72"/>
    <mergeCell ref="I72:J72"/>
    <mergeCell ref="A1:M1"/>
    <mergeCell ref="D2:K2"/>
    <mergeCell ref="A3:M3"/>
    <mergeCell ref="A6:D6"/>
    <mergeCell ref="E6:G6"/>
    <mergeCell ref="H6:J6"/>
    <mergeCell ref="K6:M6"/>
    <mergeCell ref="A8:D8"/>
    <mergeCell ref="E8:G8"/>
    <mergeCell ref="H8:J8"/>
    <mergeCell ref="K8:M8"/>
  </mergeCells>
  <conditionalFormatting sqref="C113:E115 D160:F162">
    <cfRule type="cellIs" dxfId="15" priority="5" stopIfTrue="1" operator="equal">
      <formula>"Good Agreement"</formula>
    </cfRule>
    <cfRule type="cellIs" dxfId="14" priority="6" stopIfTrue="1" operator="equal">
      <formula>"Some Agreement"</formula>
    </cfRule>
    <cfRule type="cellIs" dxfId="13" priority="7" stopIfTrue="1" operator="equal">
      <formula>"Poor Agreement"</formula>
    </cfRule>
  </conditionalFormatting>
  <conditionalFormatting sqref="F227:H232">
    <cfRule type="cellIs" dxfId="12" priority="2" stopIfTrue="1" operator="greaterThan">
      <formula>0.899999</formula>
    </cfRule>
    <cfRule type="cellIs" dxfId="11" priority="3" stopIfTrue="1" operator="between">
      <formula>0.899999</formula>
      <formula>0.799999</formula>
    </cfRule>
    <cfRule type="cellIs" dxfId="10" priority="4" stopIfTrue="1" operator="lessThan">
      <formula>0.8</formula>
    </cfRule>
  </conditionalFormatting>
  <conditionalFormatting sqref="F198:K200">
    <cfRule type="cellIs" dxfId="9" priority="1" stopIfTrue="1" operator="equal">
      <formula>"Accept Null Hypothesis"</formula>
    </cfRule>
  </conditionalFormatting>
  <conditionalFormatting sqref="I227:J232">
    <cfRule type="cellIs" dxfId="8" priority="8" stopIfTrue="1" operator="lessThan">
      <formula>0.02</formula>
    </cfRule>
    <cfRule type="cellIs" dxfId="7" priority="9" stopIfTrue="1" operator="between">
      <formula>0.02</formula>
      <formula>0.049999</formula>
    </cfRule>
    <cfRule type="cellIs" dxfId="6" priority="10" stopIfTrue="1" operator="greaterThan">
      <formula>0.049999</formula>
    </cfRule>
  </conditionalFormatting>
  <conditionalFormatting sqref="K227:K232">
    <cfRule type="cellIs" dxfId="5" priority="11" stopIfTrue="1" operator="lessThan">
      <formula>0.05</formula>
    </cfRule>
    <cfRule type="cellIs" dxfId="4" priority="12" stopIfTrue="1" operator="between">
      <formula>0.05</formula>
      <formula>0.09999</formula>
    </cfRule>
    <cfRule type="cellIs" dxfId="3" priority="13" stopIfTrue="1" operator="greaterThan">
      <formula>0.09999</formula>
    </cfRule>
  </conditionalFormatting>
  <printOptions horizontalCentered="1"/>
  <pageMargins left="0.5" right="0.5" top="1.125" bottom="0.75" header="0.5" footer="0.5"/>
  <pageSetup orientation="portrait" horizontalDpi="4294967292" verticalDpi="1200" r:id="rId1"/>
  <headerFooter>
    <oddHeader>&amp;L&amp;G&amp;C&amp;"Arial,Bold"&amp;14GAGE R&amp;&amp;R REPORT</oddHeader>
    <oddFooter>&amp;C&amp;F</oddFooter>
  </headerFooter>
  <rowBreaks count="2" manualBreakCount="2">
    <brk id="129" max="16383" man="1"/>
    <brk id="164" max="16383" man="1"/>
  </rowBreaks>
  <legacyDrawingHF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9">
    <pageSetUpPr fitToPage="1"/>
  </sheetPr>
  <dimension ref="A1:AA43"/>
  <sheetViews>
    <sheetView showGridLines="0" showRowColHeaders="0" view="pageLayout" zoomScaleNormal="100" workbookViewId="0">
      <selection activeCell="J21" sqref="J21"/>
    </sheetView>
  </sheetViews>
  <sheetFormatPr defaultColWidth="0" defaultRowHeight="12.75"/>
  <cols>
    <col min="1" max="1" width="7.5703125" style="291" customWidth="1"/>
    <col min="2" max="2" width="4.85546875" style="291" customWidth="1"/>
    <col min="3" max="12" width="6.28515625" style="291" customWidth="1"/>
    <col min="13" max="13" width="5.28515625" style="291" customWidth="1"/>
    <col min="14" max="14" width="8.85546875" style="291" customWidth="1"/>
    <col min="15" max="21" width="7.7109375" style="291" customWidth="1"/>
    <col min="22" max="22" width="9.28515625" style="291" customWidth="1"/>
    <col min="23" max="23" width="8.28515625" style="291" customWidth="1"/>
    <col min="24" max="25" width="9.28515625" style="291" customWidth="1"/>
    <col min="26" max="26" width="0.7109375" style="291" customWidth="1"/>
    <col min="27" max="16384" width="9.140625" style="291" hidden="1"/>
  </cols>
  <sheetData>
    <row r="1" spans="1:26" ht="4.1500000000000004" customHeight="1">
      <c r="A1" s="414"/>
      <c r="B1" s="312"/>
      <c r="C1" s="312"/>
      <c r="D1" s="312"/>
      <c r="E1" s="312"/>
      <c r="F1" s="312"/>
      <c r="G1" s="312"/>
      <c r="H1" s="312"/>
      <c r="I1" s="312"/>
      <c r="J1" s="312"/>
      <c r="K1" s="312"/>
      <c r="L1" s="312"/>
      <c r="M1" s="312"/>
      <c r="N1" s="312"/>
      <c r="O1" s="414" t="s">
        <v>619</v>
      </c>
      <c r="P1" s="312"/>
      <c r="Q1" s="312"/>
      <c r="R1" s="312"/>
      <c r="S1" s="312"/>
      <c r="T1" s="312"/>
      <c r="U1" s="312"/>
      <c r="V1" s="312"/>
      <c r="W1" s="312"/>
      <c r="X1" s="312"/>
      <c r="Y1" s="312"/>
    </row>
    <row r="2" spans="1:26" ht="17.45" customHeight="1">
      <c r="A2" s="646"/>
      <c r="B2" s="646"/>
      <c r="C2" s="646"/>
      <c r="D2" s="646"/>
      <c r="E2" s="646"/>
      <c r="F2" s="815" t="s">
        <v>620</v>
      </c>
      <c r="G2" s="815"/>
      <c r="H2" s="815"/>
      <c r="I2" s="815"/>
      <c r="J2" s="815"/>
      <c r="K2" s="815"/>
      <c r="L2" s="815"/>
      <c r="M2" s="815"/>
      <c r="N2" s="815"/>
      <c r="O2" s="646"/>
      <c r="P2" s="646"/>
      <c r="Q2" s="646"/>
      <c r="R2" s="646"/>
      <c r="S2" s="751" t="s">
        <v>620</v>
      </c>
      <c r="T2" s="751"/>
      <c r="U2" s="751"/>
      <c r="V2" s="751"/>
      <c r="W2" s="751"/>
      <c r="X2" s="751"/>
      <c r="Y2" s="751"/>
      <c r="Z2" s="646"/>
    </row>
    <row r="3" spans="1:26" ht="12.75" customHeight="1">
      <c r="A3" s="647"/>
      <c r="B3" s="647"/>
      <c r="C3" s="647"/>
      <c r="D3" s="647"/>
      <c r="E3" s="647"/>
      <c r="F3" s="816"/>
      <c r="G3" s="816"/>
      <c r="H3" s="816"/>
      <c r="I3" s="816"/>
      <c r="J3" s="816"/>
      <c r="K3" s="816"/>
      <c r="L3" s="816"/>
      <c r="M3" s="816"/>
      <c r="N3" s="816"/>
      <c r="O3" s="646"/>
      <c r="P3" s="646"/>
      <c r="Q3" s="646"/>
      <c r="R3" s="646"/>
      <c r="S3" s="752"/>
      <c r="T3" s="752"/>
      <c r="U3" s="752"/>
      <c r="V3" s="752"/>
      <c r="W3" s="752"/>
      <c r="X3" s="752"/>
      <c r="Y3" s="752"/>
      <c r="Z3" s="646"/>
    </row>
    <row r="4" spans="1:26" s="299" customFormat="1" ht="11.25">
      <c r="A4" s="338" t="s">
        <v>310</v>
      </c>
      <c r="B4" s="374"/>
      <c r="C4" s="374"/>
      <c r="D4" s="374"/>
      <c r="E4" s="375"/>
      <c r="F4" s="338" t="s">
        <v>30</v>
      </c>
      <c r="G4" s="374"/>
      <c r="H4" s="374"/>
      <c r="I4" s="375"/>
      <c r="J4" s="338" t="s">
        <v>31</v>
      </c>
      <c r="K4" s="374"/>
      <c r="L4" s="374"/>
      <c r="M4" s="374"/>
      <c r="N4" s="375"/>
      <c r="O4" s="338" t="s">
        <v>310</v>
      </c>
      <c r="P4" s="374"/>
      <c r="Q4" s="375"/>
      <c r="R4" s="338" t="s">
        <v>30</v>
      </c>
      <c r="S4" s="374"/>
      <c r="T4" s="374"/>
      <c r="U4" s="375"/>
      <c r="V4" s="338" t="s">
        <v>31</v>
      </c>
      <c r="W4" s="374"/>
      <c r="X4" s="374"/>
      <c r="Y4" s="375"/>
    </row>
    <row r="5" spans="1:26">
      <c r="A5" s="685">
        <f>'Header Info'!C7</f>
        <v>0</v>
      </c>
      <c r="B5" s="661"/>
      <c r="C5" s="661"/>
      <c r="D5" s="661"/>
      <c r="E5" s="686"/>
      <c r="F5" s="723"/>
      <c r="G5" s="724"/>
      <c r="H5" s="724"/>
      <c r="I5" s="725"/>
      <c r="J5" s="723"/>
      <c r="K5" s="724"/>
      <c r="L5" s="724"/>
      <c r="M5" s="724"/>
      <c r="N5" s="725"/>
      <c r="O5" s="685">
        <f>A5</f>
        <v>0</v>
      </c>
      <c r="P5" s="661"/>
      <c r="Q5" s="686"/>
      <c r="R5" s="685" t="str">
        <f>IF(F5&lt;&gt;"",F5,"")</f>
        <v/>
      </c>
      <c r="S5" s="661"/>
      <c r="T5" s="661"/>
      <c r="U5" s="686"/>
      <c r="V5" s="685" t="str">
        <f>IF(J5&lt;&gt;"",J5,"")</f>
        <v/>
      </c>
      <c r="W5" s="661"/>
      <c r="X5" s="661"/>
      <c r="Y5" s="686"/>
    </row>
    <row r="6" spans="1:26" s="299" customFormat="1" ht="11.25">
      <c r="A6" s="338" t="s">
        <v>309</v>
      </c>
      <c r="B6" s="374"/>
      <c r="C6" s="374"/>
      <c r="D6" s="374"/>
      <c r="E6" s="375"/>
      <c r="F6" s="338" t="s">
        <v>32</v>
      </c>
      <c r="G6" s="374"/>
      <c r="H6" s="374"/>
      <c r="I6" s="375"/>
      <c r="J6" s="338" t="s">
        <v>33</v>
      </c>
      <c r="K6" s="374"/>
      <c r="L6" s="374"/>
      <c r="M6" s="374"/>
      <c r="N6" s="375"/>
      <c r="O6" s="338" t="s">
        <v>309</v>
      </c>
      <c r="P6" s="374"/>
      <c r="Q6" s="375"/>
      <c r="R6" s="338" t="s">
        <v>32</v>
      </c>
      <c r="S6" s="374"/>
      <c r="T6" s="374"/>
      <c r="U6" s="375"/>
      <c r="V6" s="338" t="s">
        <v>33</v>
      </c>
      <c r="W6" s="374"/>
      <c r="X6" s="374"/>
      <c r="Y6" s="375"/>
    </row>
    <row r="7" spans="1:26">
      <c r="A7" s="685">
        <f>'Header Info'!C6</f>
        <v>0</v>
      </c>
      <c r="B7" s="661"/>
      <c r="C7" s="661"/>
      <c r="D7" s="661"/>
      <c r="E7" s="686"/>
      <c r="F7" s="723"/>
      <c r="G7" s="724"/>
      <c r="H7" s="724"/>
      <c r="I7" s="725"/>
      <c r="J7" s="723"/>
      <c r="K7" s="724"/>
      <c r="L7" s="724"/>
      <c r="M7" s="724"/>
      <c r="N7" s="725"/>
      <c r="O7" s="685">
        <f>A7</f>
        <v>0</v>
      </c>
      <c r="P7" s="661"/>
      <c r="Q7" s="686"/>
      <c r="R7" s="685" t="str">
        <f>IF(F7&lt;&gt;"",F7,"")</f>
        <v/>
      </c>
      <c r="S7" s="661"/>
      <c r="T7" s="661"/>
      <c r="U7" s="686"/>
      <c r="V7" s="685" t="str">
        <f>IF(J7&lt;&gt;"",J7,"")</f>
        <v/>
      </c>
      <c r="W7" s="661"/>
      <c r="X7" s="661"/>
      <c r="Y7" s="686"/>
    </row>
    <row r="8" spans="1:26" s="299" customFormat="1">
      <c r="A8" s="338" t="s">
        <v>18</v>
      </c>
      <c r="B8" s="374"/>
      <c r="C8" s="374"/>
      <c r="D8" s="477" t="s">
        <v>196</v>
      </c>
      <c r="E8" s="478" t="s">
        <v>155</v>
      </c>
      <c r="F8" s="338" t="s">
        <v>34</v>
      </c>
      <c r="G8" s="374"/>
      <c r="H8" s="374"/>
      <c r="I8" s="375"/>
      <c r="J8" s="338" t="s">
        <v>42</v>
      </c>
      <c r="K8" s="374"/>
      <c r="L8" s="374"/>
      <c r="M8" s="374"/>
      <c r="N8" s="375"/>
      <c r="O8" s="338" t="s">
        <v>18</v>
      </c>
      <c r="P8" s="311"/>
      <c r="Q8" s="313"/>
      <c r="R8" s="338" t="s">
        <v>34</v>
      </c>
      <c r="S8" s="374"/>
      <c r="T8" s="374"/>
      <c r="U8" s="375"/>
      <c r="V8" s="338" t="s">
        <v>42</v>
      </c>
      <c r="W8" s="374"/>
      <c r="X8" s="374"/>
      <c r="Y8" s="375"/>
    </row>
    <row r="9" spans="1:26">
      <c r="A9" s="723"/>
      <c r="B9" s="724"/>
      <c r="C9" s="724"/>
      <c r="D9" s="472"/>
      <c r="E9" s="473"/>
      <c r="F9" s="723"/>
      <c r="G9" s="724"/>
      <c r="H9" s="724"/>
      <c r="I9" s="725"/>
      <c r="J9" s="723"/>
      <c r="K9" s="724"/>
      <c r="L9" s="724"/>
      <c r="M9" s="724"/>
      <c r="N9" s="725"/>
      <c r="O9" s="685" t="str">
        <f>IF(A9&lt;&gt;"",A9,"")</f>
        <v/>
      </c>
      <c r="P9" s="661"/>
      <c r="Q9" s="686"/>
      <c r="R9" s="685" t="str">
        <f>IF(F9&lt;&gt;"",F9,"")</f>
        <v/>
      </c>
      <c r="S9" s="661"/>
      <c r="T9" s="661"/>
      <c r="U9" s="686"/>
      <c r="V9" s="685" t="str">
        <f>IF(J9&lt;&gt;"",J9,"")</f>
        <v/>
      </c>
      <c r="W9" s="661"/>
      <c r="X9" s="661"/>
      <c r="Y9" s="686"/>
    </row>
    <row r="10" spans="1:26">
      <c r="A10" s="338" t="s">
        <v>43</v>
      </c>
      <c r="B10" s="374"/>
      <c r="C10" s="374"/>
      <c r="D10" s="374"/>
      <c r="E10" s="375"/>
      <c r="F10" s="338" t="s">
        <v>44</v>
      </c>
      <c r="G10" s="375"/>
      <c r="H10" s="338" t="s">
        <v>45</v>
      </c>
      <c r="I10" s="375"/>
      <c r="J10" s="338" t="s">
        <v>46</v>
      </c>
      <c r="K10" s="375"/>
      <c r="L10" s="338" t="s">
        <v>35</v>
      </c>
      <c r="M10" s="374"/>
      <c r="N10" s="375"/>
      <c r="O10" s="338" t="s">
        <v>43</v>
      </c>
      <c r="P10" s="311"/>
      <c r="Q10" s="313"/>
      <c r="R10" s="338" t="s">
        <v>44</v>
      </c>
      <c r="S10" s="375"/>
      <c r="T10" s="338" t="s">
        <v>45</v>
      </c>
      <c r="U10" s="375"/>
      <c r="V10" s="338" t="s">
        <v>46</v>
      </c>
      <c r="W10" s="375"/>
      <c r="X10" s="338" t="s">
        <v>35</v>
      </c>
      <c r="Y10" s="375"/>
      <c r="Z10" s="299"/>
    </row>
    <row r="11" spans="1:26">
      <c r="A11" s="723"/>
      <c r="B11" s="724"/>
      <c r="C11" s="724"/>
      <c r="D11" s="724"/>
      <c r="E11" s="725"/>
      <c r="F11" s="768" t="str">
        <f>IF(C15&lt;&gt;"",COUNT(C15:C17),"")</f>
        <v/>
      </c>
      <c r="G11" s="770"/>
      <c r="H11" s="768" t="str">
        <f>IF(C15&lt;&gt;"",COUNT(C15:L15),"")</f>
        <v/>
      </c>
      <c r="I11" s="770"/>
      <c r="J11" s="768" t="str">
        <f>IF(C15&lt;&gt;"",COUNT(C15,C20,C25),"")</f>
        <v/>
      </c>
      <c r="K11" s="770"/>
      <c r="L11" s="731"/>
      <c r="M11" s="758"/>
      <c r="N11" s="759"/>
      <c r="O11" s="685" t="str">
        <f>IF(A11&lt;&gt;"",A11,"")</f>
        <v/>
      </c>
      <c r="P11" s="661"/>
      <c r="Q11" s="686"/>
      <c r="R11" s="685" t="str">
        <f>F11</f>
        <v/>
      </c>
      <c r="S11" s="686"/>
      <c r="T11" s="685" t="str">
        <f>H11</f>
        <v/>
      </c>
      <c r="U11" s="686"/>
      <c r="V11" s="685" t="str">
        <f>J11</f>
        <v/>
      </c>
      <c r="W11" s="686"/>
      <c r="X11" s="813" t="str">
        <f>IF(L11&lt;&gt;"",L11,"")</f>
        <v/>
      </c>
      <c r="Y11" s="814"/>
    </row>
    <row r="12" spans="1:26" ht="13.5" thickBot="1">
      <c r="D12" s="479"/>
      <c r="E12" s="479" t="str">
        <f>IF(D9&gt;E9,"ENTER LOWER TOLERANCE IN D9","")</f>
        <v/>
      </c>
      <c r="F12" s="291" t="str">
        <f>IF(C15&lt;&gt;"",IF(F11*H11*J11&lt;90,"DERIVED RESULTS MAY NOT BE STATISTICALLY SOUND",""),"")</f>
        <v/>
      </c>
      <c r="G12" s="328"/>
      <c r="I12" s="328"/>
      <c r="K12" s="328"/>
      <c r="S12" s="328"/>
      <c r="U12" s="328"/>
      <c r="W12" s="328"/>
    </row>
    <row r="13" spans="1:26" ht="15.75">
      <c r="A13" s="480" t="s">
        <v>47</v>
      </c>
      <c r="B13" s="481"/>
      <c r="C13" s="482" t="s">
        <v>27</v>
      </c>
      <c r="D13" s="483"/>
      <c r="E13" s="483"/>
      <c r="F13" s="483"/>
      <c r="G13" s="483"/>
      <c r="H13" s="483"/>
      <c r="I13" s="483"/>
      <c r="J13" s="483"/>
      <c r="K13" s="483"/>
      <c r="L13" s="484"/>
      <c r="M13" s="485" t="s">
        <v>48</v>
      </c>
      <c r="N13" s="486"/>
      <c r="O13" s="487"/>
      <c r="P13" s="488"/>
      <c r="Q13" s="488"/>
      <c r="R13" s="489" t="s">
        <v>38</v>
      </c>
      <c r="S13" s="488"/>
      <c r="T13" s="488"/>
      <c r="U13" s="490"/>
      <c r="V13" s="491" t="s">
        <v>49</v>
      </c>
      <c r="W13" s="492"/>
      <c r="X13" s="493"/>
      <c r="Y13" s="494"/>
    </row>
    <row r="14" spans="1:26" ht="15.75" customHeight="1" thickBot="1">
      <c r="A14" s="495" t="s">
        <v>50</v>
      </c>
      <c r="B14" s="496"/>
      <c r="C14" s="497">
        <v>1</v>
      </c>
      <c r="D14" s="497">
        <v>2</v>
      </c>
      <c r="E14" s="497">
        <v>3</v>
      </c>
      <c r="F14" s="497">
        <v>4</v>
      </c>
      <c r="G14" s="497">
        <v>5</v>
      </c>
      <c r="H14" s="497">
        <v>6</v>
      </c>
      <c r="I14" s="497">
        <v>7</v>
      </c>
      <c r="J14" s="497">
        <v>8</v>
      </c>
      <c r="K14" s="497">
        <v>9</v>
      </c>
      <c r="L14" s="497">
        <v>10</v>
      </c>
      <c r="M14" s="498"/>
      <c r="N14" s="499"/>
      <c r="O14" s="500" t="s">
        <v>51</v>
      </c>
      <c r="P14" s="311"/>
      <c r="Q14" s="311"/>
      <c r="R14" s="311"/>
      <c r="S14" s="311"/>
      <c r="T14" s="311"/>
      <c r="U14" s="313"/>
      <c r="V14" s="314"/>
      <c r="W14" s="311"/>
      <c r="X14" s="311"/>
      <c r="Y14" s="501"/>
    </row>
    <row r="15" spans="1:26" ht="18" customHeight="1">
      <c r="A15" s="502" t="s">
        <v>52</v>
      </c>
      <c r="B15" s="503">
        <v>1</v>
      </c>
      <c r="C15" s="504"/>
      <c r="D15" s="504"/>
      <c r="E15" s="504"/>
      <c r="F15" s="504"/>
      <c r="G15" s="504"/>
      <c r="H15" s="504"/>
      <c r="I15" s="504"/>
      <c r="J15" s="504"/>
      <c r="K15" s="504"/>
      <c r="L15" s="504"/>
      <c r="M15" s="505"/>
      <c r="N15" s="506" t="str">
        <f t="shared" ref="N15:N29" si="0">IF(C15&lt;&gt;"",AVERAGE(C15:L15),"")</f>
        <v/>
      </c>
      <c r="O15" s="507" t="s">
        <v>53</v>
      </c>
      <c r="P15" s="328" t="s">
        <v>40</v>
      </c>
      <c r="Q15" s="508" t="s">
        <v>54</v>
      </c>
      <c r="T15" s="422" t="s">
        <v>44</v>
      </c>
      <c r="U15" s="475" t="s">
        <v>560</v>
      </c>
      <c r="V15" s="437" t="s">
        <v>55</v>
      </c>
      <c r="W15" s="328" t="s">
        <v>40</v>
      </c>
      <c r="X15" s="291" t="s">
        <v>56</v>
      </c>
      <c r="Y15" s="509"/>
    </row>
    <row r="16" spans="1:26" ht="18" customHeight="1">
      <c r="A16" s="510">
        <v>2</v>
      </c>
      <c r="B16" s="476">
        <v>2</v>
      </c>
      <c r="C16" s="511"/>
      <c r="D16" s="511"/>
      <c r="E16" s="511"/>
      <c r="F16" s="511"/>
      <c r="G16" s="511"/>
      <c r="H16" s="511"/>
      <c r="I16" s="511"/>
      <c r="J16" s="511"/>
      <c r="K16" s="511"/>
      <c r="L16" s="511"/>
      <c r="M16" s="295"/>
      <c r="N16" s="512" t="str">
        <f t="shared" si="0"/>
        <v/>
      </c>
      <c r="O16" s="513"/>
      <c r="P16" s="328" t="s">
        <v>40</v>
      </c>
      <c r="Q16" s="291" t="str">
        <f>IF(C15&lt;&gt;"",CONCATENATE(TEXT($N$32,"0.000")," x ",CHOOSE($F$11,0,U16,U17)),"")</f>
        <v/>
      </c>
      <c r="T16" s="343">
        <v>2</v>
      </c>
      <c r="U16" s="471">
        <v>0.88619999999999999</v>
      </c>
      <c r="V16" s="437"/>
      <c r="W16" s="328" t="s">
        <v>40</v>
      </c>
      <c r="X16" s="291" t="str">
        <f>IF(C15&lt;&gt;"",CONCATENATE("100(",TEXT($Q$17,"0.000"),"/",TEXT($Q$35,"0.000"),")"),"")</f>
        <v/>
      </c>
      <c r="Y16" s="509"/>
    </row>
    <row r="17" spans="1:25" ht="18" customHeight="1">
      <c r="A17" s="514">
        <f>A16+1</f>
        <v>3</v>
      </c>
      <c r="B17" s="458">
        <v>3</v>
      </c>
      <c r="C17" s="511"/>
      <c r="D17" s="511"/>
      <c r="E17" s="511"/>
      <c r="F17" s="511"/>
      <c r="G17" s="511"/>
      <c r="H17" s="511"/>
      <c r="I17" s="511"/>
      <c r="J17" s="511"/>
      <c r="K17" s="511"/>
      <c r="L17" s="511"/>
      <c r="M17" s="295"/>
      <c r="N17" s="512" t="str">
        <f t="shared" si="0"/>
        <v/>
      </c>
      <c r="O17" s="515"/>
      <c r="P17" s="325" t="s">
        <v>40</v>
      </c>
      <c r="Q17" s="440" t="str">
        <f>IF(C15&lt;&gt;"",$N$32*(CHOOSE($F$11,0,U16,U17)),"")</f>
        <v/>
      </c>
      <c r="R17" s="295"/>
      <c r="S17" s="295"/>
      <c r="T17" s="344">
        <v>3</v>
      </c>
      <c r="U17" s="458">
        <v>0.59079999999999999</v>
      </c>
      <c r="V17" s="296"/>
      <c r="W17" s="325" t="s">
        <v>40</v>
      </c>
      <c r="X17" s="516" t="str">
        <f>IF(C15&lt;&gt;"",100*($Q$17/$Q$35),"")</f>
        <v/>
      </c>
      <c r="Y17" s="517"/>
    </row>
    <row r="18" spans="1:25" ht="18" customHeight="1">
      <c r="A18" s="514">
        <f>A17+1</f>
        <v>4</v>
      </c>
      <c r="B18" s="458" t="s">
        <v>57</v>
      </c>
      <c r="C18" s="518" t="str">
        <f t="shared" ref="C18:L18" si="1">IF(C15&lt;&gt;"",SUM(C15:C17)/COUNT(C15:C17),"")</f>
        <v/>
      </c>
      <c r="D18" s="518" t="str">
        <f t="shared" si="1"/>
        <v/>
      </c>
      <c r="E18" s="518" t="str">
        <f t="shared" si="1"/>
        <v/>
      </c>
      <c r="F18" s="518" t="str">
        <f t="shared" si="1"/>
        <v/>
      </c>
      <c r="G18" s="518" t="str">
        <f t="shared" si="1"/>
        <v/>
      </c>
      <c r="H18" s="518" t="str">
        <f t="shared" si="1"/>
        <v/>
      </c>
      <c r="I18" s="518" t="str">
        <f t="shared" si="1"/>
        <v/>
      </c>
      <c r="J18" s="518" t="str">
        <f t="shared" si="1"/>
        <v/>
      </c>
      <c r="K18" s="518" t="str">
        <f t="shared" si="1"/>
        <v/>
      </c>
      <c r="L18" s="518" t="str">
        <f t="shared" si="1"/>
        <v/>
      </c>
      <c r="M18" s="519" t="s">
        <v>58</v>
      </c>
      <c r="N18" s="512" t="str">
        <f t="shared" si="0"/>
        <v/>
      </c>
      <c r="O18" s="500" t="s">
        <v>59</v>
      </c>
      <c r="P18" s="311"/>
      <c r="Q18" s="311"/>
      <c r="R18" s="311"/>
      <c r="S18" s="311"/>
      <c r="T18" s="311"/>
      <c r="U18" s="313"/>
      <c r="V18" s="314"/>
      <c r="W18" s="311"/>
      <c r="X18" s="311"/>
      <c r="Y18" s="501"/>
    </row>
    <row r="19" spans="1:25" ht="18" customHeight="1" thickBot="1">
      <c r="A19" s="520">
        <f>A18+1</f>
        <v>5</v>
      </c>
      <c r="B19" s="521" t="s">
        <v>19</v>
      </c>
      <c r="C19" s="522" t="str">
        <f t="shared" ref="C19:L19" si="2">IF(C15&lt;&gt;"",MAX(C15:C17)-MIN(C15:C17),"")</f>
        <v/>
      </c>
      <c r="D19" s="522" t="str">
        <f t="shared" si="2"/>
        <v/>
      </c>
      <c r="E19" s="522" t="str">
        <f t="shared" si="2"/>
        <v/>
      </c>
      <c r="F19" s="522" t="str">
        <f t="shared" si="2"/>
        <v/>
      </c>
      <c r="G19" s="522" t="str">
        <f t="shared" si="2"/>
        <v/>
      </c>
      <c r="H19" s="522" t="str">
        <f t="shared" si="2"/>
        <v/>
      </c>
      <c r="I19" s="522" t="str">
        <f t="shared" si="2"/>
        <v/>
      </c>
      <c r="J19" s="522" t="str">
        <f t="shared" si="2"/>
        <v/>
      </c>
      <c r="K19" s="522" t="str">
        <f t="shared" si="2"/>
        <v/>
      </c>
      <c r="L19" s="522" t="str">
        <f t="shared" si="2"/>
        <v/>
      </c>
      <c r="M19" s="523" t="s">
        <v>60</v>
      </c>
      <c r="N19" s="512" t="str">
        <f t="shared" si="0"/>
        <v/>
      </c>
      <c r="O19" s="507" t="s">
        <v>61</v>
      </c>
      <c r="P19" s="328" t="s">
        <v>40</v>
      </c>
      <c r="Q19" s="291" t="s">
        <v>519</v>
      </c>
      <c r="U19" s="297"/>
      <c r="V19" s="437" t="s">
        <v>62</v>
      </c>
      <c r="W19" s="328" t="s">
        <v>40</v>
      </c>
      <c r="X19" s="291" t="s">
        <v>63</v>
      </c>
      <c r="Y19" s="509"/>
    </row>
    <row r="20" spans="1:25" ht="18" customHeight="1">
      <c r="A20" s="502" t="s">
        <v>64</v>
      </c>
      <c r="B20" s="503">
        <v>1</v>
      </c>
      <c r="C20" s="504"/>
      <c r="D20" s="504"/>
      <c r="E20" s="504"/>
      <c r="F20" s="504"/>
      <c r="G20" s="504"/>
      <c r="H20" s="504"/>
      <c r="I20" s="504"/>
      <c r="J20" s="504"/>
      <c r="K20" s="504"/>
      <c r="L20" s="504"/>
      <c r="M20" s="505"/>
      <c r="N20" s="506" t="str">
        <f t="shared" si="0"/>
        <v/>
      </c>
      <c r="O20" s="513"/>
      <c r="P20" s="328" t="s">
        <v>40</v>
      </c>
      <c r="Q20" s="426" t="str">
        <f>IF(C15&lt;&gt;"",CONCATENATE("{(",TEXT($N$33,"0.00")," x ",CHOOSE($J$11,0,T23,U23),")^2 - (",TEXT($Q$17,"0.00")," ^2/(",$H$11," x ",$F$11,"))}^1/2"),"")</f>
        <v/>
      </c>
      <c r="U20" s="297"/>
      <c r="V20" s="437"/>
      <c r="W20" s="328" t="s">
        <v>40</v>
      </c>
      <c r="X20" s="291" t="str">
        <f>IF(C15&lt;&gt;"",CONCATENATE("100(",TEXT($Q$21,"0.000"),"/",TEXT($Q$35,"0.000"),")"),"")</f>
        <v/>
      </c>
      <c r="Y20" s="509"/>
    </row>
    <row r="21" spans="1:25" ht="18" customHeight="1">
      <c r="A21" s="514">
        <v>7</v>
      </c>
      <c r="B21" s="476">
        <v>2</v>
      </c>
      <c r="C21" s="511"/>
      <c r="D21" s="511"/>
      <c r="E21" s="511"/>
      <c r="F21" s="511"/>
      <c r="G21" s="511"/>
      <c r="H21" s="511"/>
      <c r="I21" s="511"/>
      <c r="J21" s="511"/>
      <c r="K21" s="511"/>
      <c r="L21" s="511"/>
      <c r="M21" s="295"/>
      <c r="N21" s="512" t="str">
        <f t="shared" si="0"/>
        <v/>
      </c>
      <c r="O21" s="513"/>
      <c r="P21" s="328" t="s">
        <v>40</v>
      </c>
      <c r="Q21" s="524" t="str">
        <f>IF(C15="","",IF(($N$33*CHOOSE($J$11,0,T23,U23))^2-$Q$17^2/($H$11*$F$11)&lt;0,0,(($N$33*CHOOSE($J$11,0,T23,U23))^2-$Q$17^2/($H$11*$F$11))^(1/2)))</f>
        <v/>
      </c>
      <c r="U21" s="297"/>
      <c r="V21" s="437"/>
      <c r="W21" s="328" t="s">
        <v>40</v>
      </c>
      <c r="X21" s="525" t="str">
        <f>IF(C15&lt;&gt;"",100*($Q$21/$Q$35),"")</f>
        <v/>
      </c>
      <c r="Y21" s="509"/>
    </row>
    <row r="22" spans="1:25" ht="18" customHeight="1">
      <c r="A22" s="514">
        <f>A21+1</f>
        <v>8</v>
      </c>
      <c r="B22" s="458">
        <v>3</v>
      </c>
      <c r="C22" s="511"/>
      <c r="D22" s="511"/>
      <c r="E22" s="511"/>
      <c r="F22" s="511"/>
      <c r="G22" s="511"/>
      <c r="H22" s="511"/>
      <c r="I22" s="511"/>
      <c r="J22" s="511"/>
      <c r="K22" s="511"/>
      <c r="L22" s="511"/>
      <c r="M22" s="295"/>
      <c r="N22" s="512" t="str">
        <f t="shared" si="0"/>
        <v/>
      </c>
      <c r="O22" s="513"/>
      <c r="P22" s="328"/>
      <c r="Q22" s="524"/>
      <c r="S22" s="526" t="s">
        <v>46</v>
      </c>
      <c r="T22" s="422">
        <v>2</v>
      </c>
      <c r="U22" s="422">
        <v>3</v>
      </c>
      <c r="V22" s="296"/>
      <c r="W22" s="295"/>
      <c r="X22" s="295"/>
      <c r="Y22" s="517"/>
    </row>
    <row r="23" spans="1:25" ht="18" customHeight="1">
      <c r="A23" s="514">
        <f>A22+1</f>
        <v>9</v>
      </c>
      <c r="B23" s="458" t="s">
        <v>57</v>
      </c>
      <c r="C23" s="518" t="str">
        <f t="shared" ref="C23:L23" si="3">IF(C20&lt;&gt;"",SUM(C20:C22)/COUNT(C20:C22),"")</f>
        <v/>
      </c>
      <c r="D23" s="518" t="str">
        <f t="shared" si="3"/>
        <v/>
      </c>
      <c r="E23" s="518" t="str">
        <f t="shared" si="3"/>
        <v/>
      </c>
      <c r="F23" s="518" t="str">
        <f t="shared" si="3"/>
        <v/>
      </c>
      <c r="G23" s="518" t="str">
        <f t="shared" si="3"/>
        <v/>
      </c>
      <c r="H23" s="518" t="str">
        <f t="shared" si="3"/>
        <v/>
      </c>
      <c r="I23" s="518" t="str">
        <f t="shared" si="3"/>
        <v/>
      </c>
      <c r="J23" s="518" t="str">
        <f t="shared" si="3"/>
        <v/>
      </c>
      <c r="K23" s="518" t="str">
        <f t="shared" si="3"/>
        <v/>
      </c>
      <c r="L23" s="518" t="str">
        <f t="shared" si="3"/>
        <v/>
      </c>
      <c r="M23" s="519" t="s">
        <v>65</v>
      </c>
      <c r="N23" s="512" t="str">
        <f t="shared" si="0"/>
        <v/>
      </c>
      <c r="O23" s="515" t="s">
        <v>82</v>
      </c>
      <c r="P23" s="295"/>
      <c r="Q23" s="295"/>
      <c r="R23" s="295"/>
      <c r="S23" s="422" t="s">
        <v>559</v>
      </c>
      <c r="T23" s="340">
        <v>0.70709999999999995</v>
      </c>
      <c r="U23" s="474">
        <v>0.52310000000000001</v>
      </c>
      <c r="V23" s="314"/>
      <c r="W23" s="311"/>
      <c r="X23" s="311"/>
      <c r="Y23" s="501"/>
    </row>
    <row r="24" spans="1:25" ht="18" customHeight="1" thickBot="1">
      <c r="A24" s="520">
        <f>A23+1</f>
        <v>10</v>
      </c>
      <c r="B24" s="521" t="s">
        <v>19</v>
      </c>
      <c r="C24" s="522" t="str">
        <f t="shared" ref="C24:L24" si="4">IF(C20&lt;&gt;"",MAX(C20:C22)-MIN(C20:C22),"")</f>
        <v/>
      </c>
      <c r="D24" s="522" t="str">
        <f t="shared" si="4"/>
        <v/>
      </c>
      <c r="E24" s="522" t="str">
        <f t="shared" si="4"/>
        <v/>
      </c>
      <c r="F24" s="522" t="str">
        <f t="shared" si="4"/>
        <v/>
      </c>
      <c r="G24" s="522" t="str">
        <f t="shared" si="4"/>
        <v/>
      </c>
      <c r="H24" s="522" t="str">
        <f t="shared" si="4"/>
        <v/>
      </c>
      <c r="I24" s="522" t="str">
        <f t="shared" si="4"/>
        <v/>
      </c>
      <c r="J24" s="522" t="str">
        <f t="shared" si="4"/>
        <v/>
      </c>
      <c r="K24" s="522" t="str">
        <f t="shared" si="4"/>
        <v/>
      </c>
      <c r="L24" s="522" t="str">
        <f t="shared" si="4"/>
        <v/>
      </c>
      <c r="M24" s="523" t="s">
        <v>66</v>
      </c>
      <c r="N24" s="512" t="str">
        <f t="shared" si="0"/>
        <v/>
      </c>
      <c r="O24" s="500" t="s">
        <v>83</v>
      </c>
      <c r="P24" s="311"/>
      <c r="Q24" s="311"/>
      <c r="R24" s="311"/>
      <c r="S24" s="311"/>
      <c r="T24" s="311"/>
      <c r="U24" s="313"/>
      <c r="V24" s="437" t="s">
        <v>84</v>
      </c>
      <c r="W24" s="328" t="s">
        <v>40</v>
      </c>
      <c r="X24" s="291" t="s">
        <v>85</v>
      </c>
      <c r="Y24" s="509"/>
    </row>
    <row r="25" spans="1:25" ht="18" customHeight="1">
      <c r="A25" s="502" t="s">
        <v>69</v>
      </c>
      <c r="B25" s="503">
        <v>1</v>
      </c>
      <c r="C25" s="504"/>
      <c r="D25" s="504"/>
      <c r="E25" s="504"/>
      <c r="F25" s="504"/>
      <c r="G25" s="504"/>
      <c r="H25" s="504"/>
      <c r="I25" s="504"/>
      <c r="J25" s="504"/>
      <c r="K25" s="504"/>
      <c r="L25" s="504"/>
      <c r="M25" s="505"/>
      <c r="N25" s="506" t="str">
        <f t="shared" si="0"/>
        <v/>
      </c>
      <c r="O25" s="507" t="s">
        <v>86</v>
      </c>
      <c r="P25" s="328" t="s">
        <v>40</v>
      </c>
      <c r="Q25" s="291" t="s">
        <v>67</v>
      </c>
      <c r="T25" s="422" t="s">
        <v>45</v>
      </c>
      <c r="U25" s="475" t="s">
        <v>68</v>
      </c>
      <c r="V25" s="437"/>
      <c r="W25" s="328" t="s">
        <v>40</v>
      </c>
      <c r="X25" s="291" t="str">
        <f>IF(C15&lt;&gt;"",CONCATENATE("100(",TEXT($Q$27,"0.000"),"/",TEXT($Q$35,"0.000"),")"),"")</f>
        <v/>
      </c>
      <c r="Y25" s="509"/>
    </row>
    <row r="26" spans="1:25" ht="18" customHeight="1">
      <c r="A26" s="514">
        <v>12</v>
      </c>
      <c r="B26" s="476">
        <v>2</v>
      </c>
      <c r="C26" s="511"/>
      <c r="D26" s="511"/>
      <c r="E26" s="511"/>
      <c r="F26" s="511"/>
      <c r="G26" s="511"/>
      <c r="H26" s="511"/>
      <c r="I26" s="511"/>
      <c r="J26" s="511"/>
      <c r="K26" s="511"/>
      <c r="L26" s="511"/>
      <c r="M26" s="295"/>
      <c r="N26" s="512" t="str">
        <f t="shared" si="0"/>
        <v/>
      </c>
      <c r="O26" s="513"/>
      <c r="P26" s="328" t="s">
        <v>40</v>
      </c>
      <c r="Q26" s="431" t="str">
        <f>IF(C15&lt;&gt;"",CONCATENATE("{(",TEXT($Q$17,"0.000"),"^2 + ",TEXT($Q$21,"0.000"),"^2)}^1/2"),"")</f>
        <v/>
      </c>
      <c r="T26" s="343">
        <v>2</v>
      </c>
      <c r="U26" s="527">
        <v>0.70709999999999995</v>
      </c>
      <c r="V26" s="437"/>
      <c r="W26" s="328" t="s">
        <v>40</v>
      </c>
      <c r="X26" s="525" t="str">
        <f>IF(C15&lt;&gt;"",100*($Q$27/$Q$35),"")</f>
        <v/>
      </c>
      <c r="Y26" s="509"/>
    </row>
    <row r="27" spans="1:25" ht="18" customHeight="1">
      <c r="A27" s="514">
        <f>A26+1</f>
        <v>13</v>
      </c>
      <c r="B27" s="458">
        <v>3</v>
      </c>
      <c r="C27" s="511"/>
      <c r="D27" s="511"/>
      <c r="E27" s="511"/>
      <c r="F27" s="511"/>
      <c r="G27" s="511"/>
      <c r="H27" s="511"/>
      <c r="I27" s="511"/>
      <c r="J27" s="511"/>
      <c r="K27" s="511"/>
      <c r="L27" s="511"/>
      <c r="M27" s="295"/>
      <c r="N27" s="512" t="str">
        <f t="shared" si="0"/>
        <v/>
      </c>
      <c r="O27" s="515"/>
      <c r="P27" s="325" t="s">
        <v>40</v>
      </c>
      <c r="Q27" s="441" t="str">
        <f>IF(C15&lt;&gt;"",($Q$17^2+$Q$21^2)^(1/2),"")</f>
        <v/>
      </c>
      <c r="R27" s="295"/>
      <c r="S27" s="295"/>
      <c r="T27" s="343">
        <v>3</v>
      </c>
      <c r="U27" s="527">
        <v>0.52310000000000001</v>
      </c>
      <c r="V27" s="528" t="str">
        <f>IF(C16&lt;&gt;"",IF(X26&lt;10,"Gage system O.K",IF(X26&lt;30,"Gage system may be acceptable","Gage system needs improvement")),"")</f>
        <v/>
      </c>
      <c r="W27" s="312"/>
      <c r="X27" s="529"/>
      <c r="Y27" s="530"/>
    </row>
    <row r="28" spans="1:25" ht="18" customHeight="1">
      <c r="A28" s="514">
        <f>A27+1</f>
        <v>14</v>
      </c>
      <c r="B28" s="458" t="s">
        <v>57</v>
      </c>
      <c r="C28" s="518" t="str">
        <f t="shared" ref="C28:L28" si="5">IF(C25&lt;&gt;"",SUM(C25:C27)/COUNT(C25:C27),"")</f>
        <v/>
      </c>
      <c r="D28" s="518" t="str">
        <f t="shared" si="5"/>
        <v/>
      </c>
      <c r="E28" s="518" t="str">
        <f t="shared" si="5"/>
        <v/>
      </c>
      <c r="F28" s="518" t="str">
        <f t="shared" si="5"/>
        <v/>
      </c>
      <c r="G28" s="518" t="str">
        <f t="shared" si="5"/>
        <v/>
      </c>
      <c r="H28" s="518" t="str">
        <f t="shared" si="5"/>
        <v/>
      </c>
      <c r="I28" s="518" t="str">
        <f t="shared" si="5"/>
        <v/>
      </c>
      <c r="J28" s="518" t="str">
        <f t="shared" si="5"/>
        <v/>
      </c>
      <c r="K28" s="518" t="str">
        <f t="shared" si="5"/>
        <v/>
      </c>
      <c r="L28" s="518" t="str">
        <f t="shared" si="5"/>
        <v/>
      </c>
      <c r="M28" s="519" t="s">
        <v>71</v>
      </c>
      <c r="N28" s="512" t="str">
        <f t="shared" si="0"/>
        <v/>
      </c>
      <c r="O28" s="500" t="s">
        <v>70</v>
      </c>
      <c r="P28" s="311"/>
      <c r="Q28" s="311"/>
      <c r="R28" s="311"/>
      <c r="S28" s="311"/>
      <c r="T28" s="343">
        <v>4</v>
      </c>
      <c r="U28" s="527">
        <v>0.44667000000000001</v>
      </c>
      <c r="V28" s="314"/>
      <c r="W28" s="311"/>
      <c r="X28" s="311"/>
      <c r="Y28" s="501"/>
    </row>
    <row r="29" spans="1:25" ht="18" customHeight="1" thickBot="1">
      <c r="A29" s="520">
        <f>A28+1</f>
        <v>15</v>
      </c>
      <c r="B29" s="521" t="s">
        <v>19</v>
      </c>
      <c r="C29" s="522" t="str">
        <f t="shared" ref="C29:L29" si="6">IF(C25&lt;&gt;"",MAX(C25:C27)-MIN(C25:C27),"")</f>
        <v/>
      </c>
      <c r="D29" s="522" t="str">
        <f t="shared" si="6"/>
        <v/>
      </c>
      <c r="E29" s="522" t="str">
        <f t="shared" si="6"/>
        <v/>
      </c>
      <c r="F29" s="522" t="str">
        <f t="shared" si="6"/>
        <v/>
      </c>
      <c r="G29" s="522" t="str">
        <f t="shared" si="6"/>
        <v/>
      </c>
      <c r="H29" s="522" t="str">
        <f t="shared" si="6"/>
        <v/>
      </c>
      <c r="I29" s="522" t="str">
        <f t="shared" si="6"/>
        <v/>
      </c>
      <c r="J29" s="522" t="str">
        <f t="shared" si="6"/>
        <v/>
      </c>
      <c r="K29" s="522" t="str">
        <f t="shared" si="6"/>
        <v/>
      </c>
      <c r="L29" s="522" t="str">
        <f t="shared" si="6"/>
        <v/>
      </c>
      <c r="M29" s="523" t="s">
        <v>818</v>
      </c>
      <c r="N29" s="512" t="str">
        <f t="shared" si="0"/>
        <v/>
      </c>
      <c r="O29" s="507" t="s">
        <v>72</v>
      </c>
      <c r="P29" s="328" t="s">
        <v>40</v>
      </c>
      <c r="Q29" s="291" t="s">
        <v>73</v>
      </c>
      <c r="T29" s="343">
        <v>5</v>
      </c>
      <c r="U29" s="527">
        <v>0.40300000000000002</v>
      </c>
      <c r="V29" s="437" t="s">
        <v>77</v>
      </c>
      <c r="W29" s="328" t="s">
        <v>40</v>
      </c>
      <c r="X29" s="291" t="s">
        <v>78</v>
      </c>
      <c r="Y29" s="509"/>
    </row>
    <row r="30" spans="1:25" ht="18" customHeight="1">
      <c r="A30" s="531" t="s">
        <v>75</v>
      </c>
      <c r="B30" s="481"/>
      <c r="C30" s="532"/>
      <c r="D30" s="532"/>
      <c r="E30" s="532"/>
      <c r="F30" s="532"/>
      <c r="G30" s="532"/>
      <c r="H30" s="532"/>
      <c r="I30" s="532"/>
      <c r="J30" s="532"/>
      <c r="K30" s="532"/>
      <c r="L30" s="532"/>
      <c r="M30" s="533" t="s">
        <v>76</v>
      </c>
      <c r="N30" s="534" t="str">
        <f>IF(C15&lt;&gt;"",AVERAGE(C31:L31),"")</f>
        <v/>
      </c>
      <c r="O30" s="507"/>
      <c r="P30" s="328" t="s">
        <v>40</v>
      </c>
      <c r="Q30" s="291" t="str">
        <f>IF(C15&lt;&gt;"",CONCATENATE(TEXT($N$31,"0.000")," x ",CHOOSE($H$11,0,U26,U27,U28,U29,U30,U31,U32,U33,U34)),"")</f>
        <v/>
      </c>
      <c r="T30" s="343">
        <v>6</v>
      </c>
      <c r="U30" s="527">
        <v>0.37419999999999998</v>
      </c>
      <c r="V30" s="437"/>
      <c r="W30" s="328" t="s">
        <v>40</v>
      </c>
      <c r="X30" s="426" t="str">
        <f>IF(C15&lt;&gt;"",CONCATENATE("100(",TEXT($Q$31,"0.000"),"/",TEXT($Q$35,"0.000"),")"),"")</f>
        <v/>
      </c>
      <c r="Y30" s="509"/>
    </row>
    <row r="31" spans="1:25" ht="18" customHeight="1" thickBot="1">
      <c r="A31" s="535" t="s">
        <v>87</v>
      </c>
      <c r="B31" s="496"/>
      <c r="C31" s="536" t="str">
        <f>IF(C18&lt;&gt;"",SUM(C18,C23,C28)/COUNT(C18,C23,C28),"")</f>
        <v/>
      </c>
      <c r="D31" s="536" t="str">
        <f t="shared" ref="D31:L31" si="7">IF(D18&lt;&gt;"",SUM(D18,D23,D28)/COUNT(D18,D23,D28),"")</f>
        <v/>
      </c>
      <c r="E31" s="536" t="str">
        <f t="shared" si="7"/>
        <v/>
      </c>
      <c r="F31" s="536" t="str">
        <f t="shared" si="7"/>
        <v/>
      </c>
      <c r="G31" s="536" t="str">
        <f t="shared" si="7"/>
        <v/>
      </c>
      <c r="H31" s="536" t="str">
        <f t="shared" si="7"/>
        <v/>
      </c>
      <c r="I31" s="536" t="str">
        <f t="shared" si="7"/>
        <v/>
      </c>
      <c r="J31" s="536" t="str">
        <f t="shared" si="7"/>
        <v/>
      </c>
      <c r="K31" s="536" t="str">
        <f t="shared" si="7"/>
        <v/>
      </c>
      <c r="L31" s="536" t="str">
        <f t="shared" si="7"/>
        <v/>
      </c>
      <c r="M31" s="537" t="s">
        <v>99</v>
      </c>
      <c r="N31" s="538" t="str">
        <f>IF(C15&lt;&gt;"",MAX(C31:L31)-MIN(C31:L31),"")</f>
        <v/>
      </c>
      <c r="O31" s="539"/>
      <c r="P31" s="325" t="s">
        <v>40</v>
      </c>
      <c r="Q31" s="441" t="str">
        <f>IF(C15&lt;&gt;"",$N$31*CHOOSE($H$11,0,U26,U27,U28,U29,U30,U31,U32,U33,U34),"")</f>
        <v/>
      </c>
      <c r="R31" s="295"/>
      <c r="S31" s="295"/>
      <c r="T31" s="343">
        <v>7</v>
      </c>
      <c r="U31" s="527">
        <v>0.35339999999999999</v>
      </c>
      <c r="V31" s="437"/>
      <c r="W31" s="328" t="s">
        <v>40</v>
      </c>
      <c r="X31" s="540" t="str">
        <f>IF(C15&lt;&gt;"",100*($Q$31/$Q$35),"")</f>
        <v/>
      </c>
      <c r="Y31" s="509"/>
    </row>
    <row r="32" spans="1:25" ht="18" customHeight="1">
      <c r="A32" s="541">
        <f>A29+2</f>
        <v>17</v>
      </c>
      <c r="B32" s="505" t="s">
        <v>518</v>
      </c>
      <c r="C32" s="505"/>
      <c r="D32" s="505"/>
      <c r="E32" s="505"/>
      <c r="F32" s="505"/>
      <c r="G32" s="505"/>
      <c r="H32" s="505"/>
      <c r="I32" s="505"/>
      <c r="J32" s="505"/>
      <c r="K32" s="505"/>
      <c r="L32" s="505"/>
      <c r="M32" s="542" t="s">
        <v>101</v>
      </c>
      <c r="N32" s="506" t="str">
        <f>IF(C15&lt;&gt;"",SUM(N19,N24,N29)/COUNT(C15,C20,C25),"")</f>
        <v/>
      </c>
      <c r="O32" s="500" t="s">
        <v>100</v>
      </c>
      <c r="P32" s="311"/>
      <c r="Q32" s="311"/>
      <c r="R32" s="311"/>
      <c r="S32" s="311"/>
      <c r="T32" s="343">
        <v>8</v>
      </c>
      <c r="U32" s="527">
        <v>0.33750000000000002</v>
      </c>
      <c r="V32" s="296"/>
      <c r="W32" s="295"/>
      <c r="X32" s="295"/>
      <c r="Y32" s="517"/>
    </row>
    <row r="33" spans="1:27" ht="18" customHeight="1">
      <c r="A33" s="543">
        <f>A32+1</f>
        <v>18</v>
      </c>
      <c r="B33" s="544" t="s">
        <v>88</v>
      </c>
      <c r="C33" s="327"/>
      <c r="D33" s="327"/>
      <c r="E33" s="327"/>
      <c r="F33" s="327"/>
      <c r="G33" s="327"/>
      <c r="H33" s="327"/>
      <c r="I33" s="327"/>
      <c r="J33" s="327"/>
      <c r="K33" s="327"/>
      <c r="L33" s="327"/>
      <c r="M33" s="545" t="s">
        <v>103</v>
      </c>
      <c r="N33" s="546" t="str">
        <f>IF(C15&lt;&gt;"",MAX(N18,N23,N28)-MIN(N18,N23,N28),"")</f>
        <v/>
      </c>
      <c r="O33" s="507" t="s">
        <v>102</v>
      </c>
      <c r="P33" s="328" t="s">
        <v>40</v>
      </c>
      <c r="Q33" s="291" t="s">
        <v>89</v>
      </c>
      <c r="T33" s="343">
        <v>9</v>
      </c>
      <c r="U33" s="527">
        <v>0.32490000000000002</v>
      </c>
      <c r="V33" s="437" t="s">
        <v>90</v>
      </c>
      <c r="W33" s="328" t="s">
        <v>40</v>
      </c>
      <c r="X33" s="291" t="s">
        <v>91</v>
      </c>
      <c r="Y33" s="509"/>
    </row>
    <row r="34" spans="1:27" ht="18" customHeight="1">
      <c r="A34" s="543">
        <f>A33+1</f>
        <v>19</v>
      </c>
      <c r="B34" s="295" t="s">
        <v>819</v>
      </c>
      <c r="C34" s="327"/>
      <c r="D34" s="327"/>
      <c r="E34" s="547" t="str">
        <f>IF(C15="","",IF(OR(G34&lt;&gt;"",H34&lt;&gt;"",I34&lt;&gt;""),"APPRAISER",""))</f>
        <v/>
      </c>
      <c r="F34" s="548"/>
      <c r="G34" s="549" t="str">
        <f>IF(C15="","",IF(OR(AND($C19&lt;&gt;"",$C19&gt;$N$34),AND($D19&lt;&gt;"",$D19&gt;$N$34),AND($E19&lt;&gt;"",$E19&gt;$N$34),AND($F19&lt;&gt;"",$F19&gt;$N$34),AND($G19&lt;&gt;"",$G19&gt;$N$34),AND($H19&lt;&gt;"",$H19&gt;$N$34),AND($I19&lt;&gt;"",$I19&gt;$N$34),AND($J19&lt;&gt;"",$J19&gt;$N$34),AND($K19&lt;&gt;"",$K19&gt;$N$34),AND($L19&lt;&gt;"",$L19&gt;$N$34)),"A",""))</f>
        <v/>
      </c>
      <c r="H34" s="549" t="str">
        <f>IF(C15="","",IF(OR(AND($C24&lt;&gt;"",$C24&gt;$N$34),AND($D24&lt;&gt;"",$D24&gt;$N$34),AND($E24&lt;&gt;"",$E24&gt;$N$34),AND($F24&lt;&gt;"",$F24&gt;$N$34),AND($G24&lt;&gt;"",$G24&gt;$N$34),AND($H24&lt;&gt;"",$H24&gt;$N$34),AND($I24&lt;&gt;"",$I24&gt;$N$34),AND($J24&lt;&gt;"",$J24&gt;$N$34),AND($K24&lt;&gt;"",$K24&gt;$N$34),AND($L24&lt;&gt;"",$L24&gt;$N$34)),"B",""))</f>
        <v/>
      </c>
      <c r="I34" s="549" t="str">
        <f>IF(C15="","",IF(OR(AND($C29&lt;&gt;"",$C29&gt;$N$34),AND($D29&lt;&gt;"",$D29&gt;$N$34),AND($E29&lt;&gt;"",$E29&gt;$N$34),AND($F29&lt;&gt;"",$F29&gt;$N$34),AND($G29&lt;&gt;"",$G29&gt;$N$34),AND($H29&lt;&gt;"",$H29&gt;$N$34),AND($I29&lt;&gt;"",$I29&gt;$N$34),AND($J29&lt;&gt;"",$J29&gt;$N$34),AND($K29&lt;&gt;"",$K29&gt;$N$34),AND($L29&lt;&gt;"",$L29&gt;$N$34)),"C",""))</f>
        <v/>
      </c>
      <c r="J34" s="548" t="str">
        <f>IF(C15="","",IF(OR(G34&lt;&gt;"",H34&lt;&gt;"",I34&lt;&gt;""),"OUT OF CONTROL",""))</f>
        <v/>
      </c>
      <c r="K34" s="327"/>
      <c r="L34" s="327"/>
      <c r="M34" s="550" t="s">
        <v>104</v>
      </c>
      <c r="N34" s="546" t="str">
        <f>IF(C15&lt;&gt;"",IF(F11=3,2.58*N32,3.27*N32),"")</f>
        <v/>
      </c>
      <c r="O34" s="507"/>
      <c r="P34" s="551" t="s">
        <v>40</v>
      </c>
      <c r="Q34" s="525" t="str">
        <f>IF(C15&lt;&gt;"",CONCATENATE("{(",TEXT($Q$27,"0.000"),"^2 + ",TEXT($Q$31,"0.000"),"^2)}^1/2"),"")</f>
        <v/>
      </c>
      <c r="T34" s="344">
        <v>10</v>
      </c>
      <c r="U34" s="552">
        <v>0.31459999999999999</v>
      </c>
      <c r="V34" s="300"/>
      <c r="W34" s="551" t="s">
        <v>40</v>
      </c>
      <c r="X34" s="426" t="str">
        <f>IF(C15&lt;&gt;"",CONCATENATE("1.41(",TEXT($Q$31,"0.000"),"/",TEXT($Q$27,"0.000"),")"),"")</f>
        <v/>
      </c>
      <c r="Y34" s="509"/>
      <c r="AA34" s="553"/>
    </row>
    <row r="35" spans="1:27" ht="18" customHeight="1">
      <c r="A35" s="554"/>
      <c r="B35" s="311"/>
      <c r="C35" s="311"/>
      <c r="D35" s="311"/>
      <c r="E35" s="311"/>
      <c r="F35" s="311"/>
      <c r="G35" s="311"/>
      <c r="H35" s="311"/>
      <c r="I35" s="311"/>
      <c r="J35" s="311"/>
      <c r="K35" s="311"/>
      <c r="L35" s="311"/>
      <c r="M35" s="311"/>
      <c r="N35" s="501"/>
      <c r="O35" s="507"/>
      <c r="P35" s="551" t="s">
        <v>40</v>
      </c>
      <c r="Q35" s="441" t="str">
        <f>IF(C15&lt;&gt;"",($Q$27^2+$Q$31^2)^(1/2),"")</f>
        <v/>
      </c>
      <c r="U35" s="313"/>
      <c r="W35" s="551" t="s">
        <v>40</v>
      </c>
      <c r="X35" s="555" t="str">
        <f>IF(C15&lt;&gt;"",TRUNC(1.41*($Q$31/$Q$27)),"")</f>
        <v/>
      </c>
      <c r="Y35" s="509"/>
    </row>
    <row r="36" spans="1:27" ht="18" customHeight="1">
      <c r="A36" s="556" t="s">
        <v>93</v>
      </c>
      <c r="N36" s="509"/>
      <c r="O36" s="539"/>
      <c r="P36" s="557"/>
      <c r="Q36" s="440"/>
      <c r="R36" s="295"/>
      <c r="S36" s="295"/>
      <c r="T36" s="295"/>
      <c r="U36" s="294"/>
      <c r="V36" s="810" t="str">
        <f>IF(X35&lt;&gt;"",IF(X35&lt;5,"Gage discrimination low","Gage discrimination acceptable"),"")</f>
        <v/>
      </c>
      <c r="W36" s="811"/>
      <c r="X36" s="811"/>
      <c r="Y36" s="812"/>
    </row>
    <row r="37" spans="1:27">
      <c r="A37" s="556" t="s">
        <v>94</v>
      </c>
      <c r="N37" s="509"/>
      <c r="O37" s="556"/>
      <c r="Y37" s="509"/>
    </row>
    <row r="38" spans="1:27">
      <c r="A38" s="556" t="s">
        <v>95</v>
      </c>
      <c r="N38" s="509"/>
      <c r="O38" s="513" t="s">
        <v>679</v>
      </c>
      <c r="Y38" s="509"/>
    </row>
    <row r="39" spans="1:27" ht="13.5" thickBot="1">
      <c r="A39" s="513"/>
      <c r="N39" s="509"/>
      <c r="O39" s="558"/>
      <c r="P39" s="559"/>
      <c r="Q39" s="560"/>
      <c r="R39" s="560"/>
      <c r="S39" s="560"/>
      <c r="T39" s="560"/>
      <c r="U39" s="560"/>
      <c r="V39" s="560"/>
      <c r="W39" s="560"/>
      <c r="X39" s="560"/>
      <c r="Y39" s="499"/>
    </row>
    <row r="40" spans="1:27">
      <c r="A40" s="556" t="s">
        <v>105</v>
      </c>
      <c r="B40" s="295"/>
      <c r="C40" s="295"/>
      <c r="D40" s="295"/>
      <c r="E40" s="295"/>
      <c r="F40" s="295"/>
      <c r="G40" s="295"/>
      <c r="H40" s="295"/>
      <c r="I40" s="295"/>
      <c r="J40" s="295"/>
      <c r="K40" s="295"/>
      <c r="L40" s="295"/>
      <c r="M40" s="295"/>
      <c r="N40" s="517"/>
      <c r="O40" s="299"/>
    </row>
    <row r="41" spans="1:27">
      <c r="A41" s="556"/>
      <c r="B41" s="295"/>
      <c r="C41" s="295"/>
      <c r="D41" s="295"/>
      <c r="E41" s="295"/>
      <c r="F41" s="295"/>
      <c r="G41" s="295"/>
      <c r="H41" s="295"/>
      <c r="I41" s="295"/>
      <c r="J41" s="295"/>
      <c r="K41" s="295"/>
      <c r="L41" s="295"/>
      <c r="M41" s="295"/>
      <c r="N41" s="517"/>
      <c r="O41" s="299"/>
    </row>
    <row r="42" spans="1:27" ht="13.5" thickBot="1">
      <c r="A42" s="558"/>
      <c r="B42" s="560"/>
      <c r="C42" s="560"/>
      <c r="D42" s="560"/>
      <c r="E42" s="560"/>
      <c r="F42" s="560"/>
      <c r="G42" s="560"/>
      <c r="H42" s="560"/>
      <c r="I42" s="560"/>
      <c r="J42" s="560"/>
      <c r="K42" s="560"/>
      <c r="L42" s="560"/>
      <c r="M42" s="560"/>
      <c r="N42" s="499"/>
      <c r="O42" s="299"/>
    </row>
    <row r="43" spans="1:27">
      <c r="O43" s="299"/>
    </row>
  </sheetData>
  <mergeCells count="31">
    <mergeCell ref="A9:C9"/>
    <mergeCell ref="F9:I9"/>
    <mergeCell ref="A5:E5"/>
    <mergeCell ref="F5:I5"/>
    <mergeCell ref="J5:N5"/>
    <mergeCell ref="A7:E7"/>
    <mergeCell ref="F7:I7"/>
    <mergeCell ref="J7:N7"/>
    <mergeCell ref="V9:Y9"/>
    <mergeCell ref="X11:Y11"/>
    <mergeCell ref="F2:N3"/>
    <mergeCell ref="S2:Y3"/>
    <mergeCell ref="J9:N9"/>
    <mergeCell ref="R7:U7"/>
    <mergeCell ref="V7:Y7"/>
    <mergeCell ref="O5:Q5"/>
    <mergeCell ref="R5:U5"/>
    <mergeCell ref="O9:Q9"/>
    <mergeCell ref="R9:U9"/>
    <mergeCell ref="V5:Y5"/>
    <mergeCell ref="O7:Q7"/>
    <mergeCell ref="V36:Y36"/>
    <mergeCell ref="A11:E11"/>
    <mergeCell ref="F11:G11"/>
    <mergeCell ref="H11:I11"/>
    <mergeCell ref="J11:K11"/>
    <mergeCell ref="L11:N11"/>
    <mergeCell ref="O11:Q11"/>
    <mergeCell ref="R11:S11"/>
    <mergeCell ref="T11:U11"/>
    <mergeCell ref="V11:W11"/>
  </mergeCells>
  <printOptions horizontalCentered="1" verticalCentered="1"/>
  <pageMargins left="0.75" right="0.75" top="1.0520833333333333" bottom="0.75" header="0.5" footer="0.5"/>
  <pageSetup fitToWidth="2" orientation="portrait" horizontalDpi="300" r:id="rId1"/>
  <headerFooter>
    <oddHeader>&amp;L&amp;G&amp;C&amp;"Arial,Bold"&amp;14    GAGE R&amp;&amp;R REPORT</oddHeader>
    <oddFooter>&amp;C&amp;F</oddFooter>
  </headerFooter>
  <legacyDrawing r:id="rId2"/>
  <legacyDrawingHF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7"/>
  <dimension ref="A1:Z42"/>
  <sheetViews>
    <sheetView showGridLines="0" view="pageLayout" zoomScaleNormal="100" workbookViewId="0">
      <selection activeCell="F2" sqref="F2:N3"/>
    </sheetView>
  </sheetViews>
  <sheetFormatPr defaultRowHeight="12.75"/>
  <cols>
    <col min="1" max="1" width="7.5703125" customWidth="1"/>
    <col min="2" max="2" width="4.85546875" customWidth="1"/>
    <col min="3" max="12" width="6.28515625" customWidth="1"/>
    <col min="13" max="13" width="5.28515625" customWidth="1"/>
    <col min="15" max="21" width="7.7109375" customWidth="1"/>
    <col min="22" max="22" width="9.28515625" customWidth="1"/>
    <col min="23" max="23" width="8.28515625" customWidth="1"/>
    <col min="24" max="25" width="9.28515625" customWidth="1"/>
  </cols>
  <sheetData>
    <row r="1" spans="1:26" ht="18">
      <c r="A1" s="76"/>
      <c r="B1" s="69"/>
      <c r="C1" s="69"/>
      <c r="D1" s="69"/>
      <c r="E1" s="69"/>
      <c r="F1" s="69"/>
      <c r="G1" s="69"/>
      <c r="H1" s="69"/>
      <c r="I1" s="69"/>
      <c r="J1" s="69"/>
      <c r="K1" s="69"/>
      <c r="L1" s="69"/>
      <c r="M1" s="69"/>
      <c r="N1" s="69"/>
      <c r="O1" s="76"/>
      <c r="P1" s="69"/>
      <c r="Q1" s="69"/>
      <c r="R1" s="69"/>
      <c r="S1" s="69"/>
      <c r="T1" s="69"/>
      <c r="U1" s="69"/>
      <c r="V1" s="69"/>
      <c r="W1" s="69"/>
      <c r="X1" s="69"/>
      <c r="Y1" s="69"/>
    </row>
    <row r="2" spans="1:26" ht="18">
      <c r="A2" s="577"/>
      <c r="B2" s="577"/>
      <c r="C2" s="577"/>
      <c r="D2" s="577"/>
      <c r="E2" s="577"/>
      <c r="F2" s="828" t="s">
        <v>620</v>
      </c>
      <c r="G2" s="828"/>
      <c r="H2" s="828"/>
      <c r="I2" s="828"/>
      <c r="J2" s="828"/>
      <c r="K2" s="828"/>
      <c r="L2" s="828"/>
      <c r="M2" s="828"/>
      <c r="N2" s="828"/>
      <c r="O2" s="577"/>
      <c r="P2" s="577"/>
      <c r="Q2" s="577"/>
      <c r="R2" s="577"/>
      <c r="S2" s="830" t="s">
        <v>620</v>
      </c>
      <c r="T2" s="830"/>
      <c r="U2" s="830"/>
      <c r="V2" s="830"/>
      <c r="W2" s="830"/>
      <c r="X2" s="830"/>
      <c r="Y2" s="830"/>
    </row>
    <row r="3" spans="1:26" ht="12.75" customHeight="1">
      <c r="F3" s="829"/>
      <c r="G3" s="829"/>
      <c r="H3" s="829"/>
      <c r="I3" s="829"/>
      <c r="J3" s="829"/>
      <c r="K3" s="829"/>
      <c r="L3" s="829"/>
      <c r="M3" s="829"/>
      <c r="N3" s="829"/>
      <c r="S3" s="831"/>
      <c r="T3" s="831"/>
      <c r="U3" s="831"/>
      <c r="V3" s="831"/>
      <c r="W3" s="831"/>
      <c r="X3" s="831"/>
      <c r="Y3" s="831"/>
    </row>
    <row r="4" spans="1:26" s="4" customFormat="1" ht="11.25">
      <c r="A4" s="12" t="s">
        <v>310</v>
      </c>
      <c r="B4" s="13"/>
      <c r="C4" s="13"/>
      <c r="D4" s="13"/>
      <c r="E4" s="31"/>
      <c r="F4" s="12" t="s">
        <v>30</v>
      </c>
      <c r="G4" s="13"/>
      <c r="H4" s="13"/>
      <c r="I4" s="31"/>
      <c r="J4" s="12" t="s">
        <v>31</v>
      </c>
      <c r="K4" s="13"/>
      <c r="L4" s="13"/>
      <c r="M4" s="13"/>
      <c r="N4" s="31"/>
      <c r="O4" s="12" t="s">
        <v>310</v>
      </c>
      <c r="P4" s="13"/>
      <c r="Q4" s="31"/>
      <c r="R4" s="12" t="s">
        <v>30</v>
      </c>
      <c r="S4" s="13"/>
      <c r="T4" s="13"/>
      <c r="U4" s="31"/>
      <c r="V4" s="12" t="s">
        <v>31</v>
      </c>
      <c r="W4" s="13"/>
      <c r="X4" s="13"/>
      <c r="Y4" s="31"/>
    </row>
    <row r="5" spans="1:26">
      <c r="A5" s="825">
        <f>'Header Info'!C7</f>
        <v>0</v>
      </c>
      <c r="B5" s="827"/>
      <c r="C5" s="827"/>
      <c r="D5" s="827"/>
      <c r="E5" s="826"/>
      <c r="F5" s="832"/>
      <c r="G5" s="833"/>
      <c r="H5" s="833"/>
      <c r="I5" s="834"/>
      <c r="J5" s="832"/>
      <c r="K5" s="833"/>
      <c r="L5" s="833"/>
      <c r="M5" s="833"/>
      <c r="N5" s="834"/>
      <c r="O5" s="825">
        <f>IF(A5&lt;&gt;"",A5,"")</f>
        <v>0</v>
      </c>
      <c r="P5" s="827"/>
      <c r="Q5" s="826"/>
      <c r="R5" s="825" t="str">
        <f>IF(F5&lt;&gt;"",F5,"")</f>
        <v/>
      </c>
      <c r="S5" s="827"/>
      <c r="T5" s="827"/>
      <c r="U5" s="826"/>
      <c r="V5" s="825" t="str">
        <f>IF(J5&lt;&gt;"",J5,"")</f>
        <v/>
      </c>
      <c r="W5" s="827"/>
      <c r="X5" s="827"/>
      <c r="Y5" s="826"/>
    </row>
    <row r="6" spans="1:26" s="4" customFormat="1" ht="11.25">
      <c r="A6" s="12" t="s">
        <v>309</v>
      </c>
      <c r="B6" s="13"/>
      <c r="C6" s="13"/>
      <c r="D6" s="13"/>
      <c r="E6" s="31"/>
      <c r="F6" s="12" t="s">
        <v>32</v>
      </c>
      <c r="G6" s="13"/>
      <c r="H6" s="13"/>
      <c r="I6" s="31"/>
      <c r="J6" s="12" t="s">
        <v>33</v>
      </c>
      <c r="K6" s="13"/>
      <c r="L6" s="13"/>
      <c r="M6" s="13"/>
      <c r="N6" s="31"/>
      <c r="O6" s="12" t="s">
        <v>309</v>
      </c>
      <c r="P6" s="13"/>
      <c r="Q6" s="31"/>
      <c r="R6" s="12" t="s">
        <v>32</v>
      </c>
      <c r="S6" s="13"/>
      <c r="T6" s="13"/>
      <c r="U6" s="31"/>
      <c r="V6" s="12" t="s">
        <v>33</v>
      </c>
      <c r="W6" s="13"/>
      <c r="X6" s="13"/>
      <c r="Y6" s="31"/>
    </row>
    <row r="7" spans="1:26">
      <c r="A7" s="825">
        <f>'Header Info'!C6</f>
        <v>0</v>
      </c>
      <c r="B7" s="827"/>
      <c r="C7" s="827"/>
      <c r="D7" s="827"/>
      <c r="E7" s="826"/>
      <c r="F7" s="832"/>
      <c r="G7" s="833"/>
      <c r="H7" s="833"/>
      <c r="I7" s="834"/>
      <c r="J7" s="832"/>
      <c r="K7" s="833"/>
      <c r="L7" s="833"/>
      <c r="M7" s="833"/>
      <c r="N7" s="834"/>
      <c r="O7" s="825">
        <f>IF(A7&lt;&gt;"",A7,"")</f>
        <v>0</v>
      </c>
      <c r="P7" s="827"/>
      <c r="Q7" s="826"/>
      <c r="R7" s="825" t="str">
        <f>IF(F7&lt;&gt;"",F7,"")</f>
        <v/>
      </c>
      <c r="S7" s="827"/>
      <c r="T7" s="827"/>
      <c r="U7" s="826"/>
      <c r="V7" s="825" t="str">
        <f>IF(J7&lt;&gt;"",J7,"")</f>
        <v/>
      </c>
      <c r="W7" s="827"/>
      <c r="X7" s="827"/>
      <c r="Y7" s="826"/>
    </row>
    <row r="8" spans="1:26" s="4" customFormat="1">
      <c r="A8" s="12" t="s">
        <v>18</v>
      </c>
      <c r="B8" s="13"/>
      <c r="C8" s="13"/>
      <c r="D8" s="562" t="s">
        <v>196</v>
      </c>
      <c r="E8" s="563" t="s">
        <v>155</v>
      </c>
      <c r="F8" s="12" t="s">
        <v>34</v>
      </c>
      <c r="G8" s="13"/>
      <c r="H8" s="13"/>
      <c r="I8" s="31"/>
      <c r="J8" s="12" t="s">
        <v>42</v>
      </c>
      <c r="K8" s="13"/>
      <c r="L8" s="13"/>
      <c r="M8" s="13"/>
      <c r="N8" s="31"/>
      <c r="O8" s="12" t="s">
        <v>18</v>
      </c>
      <c r="P8" s="6"/>
      <c r="Q8" s="7"/>
      <c r="R8" s="12" t="s">
        <v>34</v>
      </c>
      <c r="S8" s="13"/>
      <c r="T8" s="13"/>
      <c r="U8" s="31"/>
      <c r="V8" s="12" t="s">
        <v>42</v>
      </c>
      <c r="W8" s="13"/>
      <c r="X8" s="13"/>
      <c r="Y8" s="31"/>
    </row>
    <row r="9" spans="1:26">
      <c r="A9" s="832"/>
      <c r="B9" s="833"/>
      <c r="C9" s="833"/>
      <c r="D9" s="564"/>
      <c r="E9" s="565"/>
      <c r="F9" s="832"/>
      <c r="G9" s="833"/>
      <c r="H9" s="833"/>
      <c r="I9" s="834"/>
      <c r="J9" s="832"/>
      <c r="K9" s="833"/>
      <c r="L9" s="833"/>
      <c r="M9" s="833"/>
      <c r="N9" s="834"/>
      <c r="O9" s="825" t="str">
        <f>IF(A9&lt;&gt;"",A9,"")</f>
        <v/>
      </c>
      <c r="P9" s="827"/>
      <c r="Q9" s="826"/>
      <c r="R9" s="825" t="str">
        <f>IF(F9&lt;&gt;"",F9,"")</f>
        <v/>
      </c>
      <c r="S9" s="827"/>
      <c r="T9" s="827"/>
      <c r="U9" s="826"/>
      <c r="V9" s="825" t="str">
        <f>IF(J9&lt;&gt;"",J9,"")</f>
        <v/>
      </c>
      <c r="W9" s="827"/>
      <c r="X9" s="827"/>
      <c r="Y9" s="826"/>
    </row>
    <row r="10" spans="1:26">
      <c r="A10" s="12" t="s">
        <v>43</v>
      </c>
      <c r="B10" s="13"/>
      <c r="C10" s="13"/>
      <c r="D10" s="13"/>
      <c r="E10" s="31"/>
      <c r="F10" s="12" t="s">
        <v>44</v>
      </c>
      <c r="G10" s="31"/>
      <c r="H10" s="12" t="s">
        <v>45</v>
      </c>
      <c r="I10" s="31"/>
      <c r="J10" s="12" t="s">
        <v>46</v>
      </c>
      <c r="K10" s="31"/>
      <c r="L10" s="12" t="s">
        <v>35</v>
      </c>
      <c r="M10" s="13"/>
      <c r="N10" s="31"/>
      <c r="O10" s="12" t="s">
        <v>43</v>
      </c>
      <c r="P10" s="6"/>
      <c r="Q10" s="7"/>
      <c r="R10" s="12" t="s">
        <v>44</v>
      </c>
      <c r="S10" s="31"/>
      <c r="T10" s="12" t="s">
        <v>45</v>
      </c>
      <c r="U10" s="31"/>
      <c r="V10" s="12" t="s">
        <v>46</v>
      </c>
      <c r="W10" s="31"/>
      <c r="X10" s="12" t="s">
        <v>35</v>
      </c>
      <c r="Y10" s="31"/>
      <c r="Z10" s="4"/>
    </row>
    <row r="11" spans="1:26">
      <c r="A11" s="832"/>
      <c r="B11" s="833"/>
      <c r="C11" s="833"/>
      <c r="D11" s="833"/>
      <c r="E11" s="834"/>
      <c r="F11" s="835" t="str">
        <f>IF(C15&lt;&gt;"",COUNT(C15:C17),"")</f>
        <v/>
      </c>
      <c r="G11" s="836"/>
      <c r="H11" s="835" t="str">
        <f>IF(C15&lt;&gt;"",COUNT(C15:L15),"")</f>
        <v/>
      </c>
      <c r="I11" s="836"/>
      <c r="J11" s="835" t="str">
        <f>IF(C15&lt;&gt;"",COUNT(C15,C20,C25),"")</f>
        <v/>
      </c>
      <c r="K11" s="836"/>
      <c r="L11" s="820"/>
      <c r="M11" s="821"/>
      <c r="N11" s="822"/>
      <c r="O11" s="825" t="str">
        <f>IF(A11&lt;&gt;"",A11,"")</f>
        <v/>
      </c>
      <c r="P11" s="827"/>
      <c r="Q11" s="826"/>
      <c r="R11" s="825" t="str">
        <f>F11</f>
        <v/>
      </c>
      <c r="S11" s="826"/>
      <c r="T11" s="825" t="str">
        <f>H11</f>
        <v/>
      </c>
      <c r="U11" s="826"/>
      <c r="V11" s="825" t="str">
        <f>J11</f>
        <v/>
      </c>
      <c r="W11" s="826"/>
      <c r="X11" s="823" t="str">
        <f>IF(L11&lt;&gt;"",L11,"")</f>
        <v/>
      </c>
      <c r="Y11" s="824"/>
    </row>
    <row r="12" spans="1:26" ht="13.5" thickBot="1">
      <c r="D12" s="183"/>
      <c r="E12" s="183" t="str">
        <f>IF(D9&gt;E9,"ENTER LOWER TOLERANCE IN D9","")</f>
        <v/>
      </c>
      <c r="F12" t="str">
        <f>IF(C15&lt;&gt;"",IF(F11*H11*J11&lt;90,"DERIVED RESULTS MAY NOT BE STATISTICALLY SOUND",""),"")</f>
        <v/>
      </c>
      <c r="G12" s="15"/>
      <c r="I12" s="15"/>
      <c r="K12" s="15"/>
      <c r="S12" s="15"/>
      <c r="U12" s="15"/>
      <c r="W12" s="15"/>
    </row>
    <row r="13" spans="1:26" ht="15.75">
      <c r="A13" s="83" t="s">
        <v>47</v>
      </c>
      <c r="B13" s="17"/>
      <c r="C13" s="168" t="s">
        <v>27</v>
      </c>
      <c r="D13" s="142"/>
      <c r="E13" s="142"/>
      <c r="F13" s="142"/>
      <c r="G13" s="142"/>
      <c r="H13" s="142"/>
      <c r="I13" s="142"/>
      <c r="J13" s="142"/>
      <c r="K13" s="142"/>
      <c r="L13" s="143"/>
      <c r="M13" s="144" t="s">
        <v>48</v>
      </c>
      <c r="N13" s="82"/>
      <c r="O13" s="145"/>
      <c r="P13" s="146"/>
      <c r="Q13" s="146"/>
      <c r="R13" s="147" t="s">
        <v>38</v>
      </c>
      <c r="S13" s="146"/>
      <c r="T13" s="146"/>
      <c r="U13" s="148"/>
      <c r="V13" s="149" t="s">
        <v>106</v>
      </c>
      <c r="W13" s="150"/>
      <c r="X13" s="151"/>
      <c r="Y13" s="152"/>
    </row>
    <row r="14" spans="1:26" ht="15.75" customHeight="1" thickBot="1">
      <c r="A14" s="84" t="s">
        <v>50</v>
      </c>
      <c r="B14" s="25"/>
      <c r="C14" s="81">
        <v>1</v>
      </c>
      <c r="D14" s="81">
        <v>2</v>
      </c>
      <c r="E14" s="81">
        <v>3</v>
      </c>
      <c r="F14" s="81">
        <v>4</v>
      </c>
      <c r="G14" s="81">
        <v>5</v>
      </c>
      <c r="H14" s="81">
        <v>6</v>
      </c>
      <c r="I14" s="81">
        <v>7</v>
      </c>
      <c r="J14" s="81">
        <v>8</v>
      </c>
      <c r="K14" s="81">
        <v>9</v>
      </c>
      <c r="L14" s="81">
        <v>10</v>
      </c>
      <c r="M14" s="153"/>
      <c r="N14" s="21"/>
      <c r="O14" s="154" t="s">
        <v>51</v>
      </c>
      <c r="P14" s="6"/>
      <c r="Q14" s="6"/>
      <c r="R14" s="6"/>
      <c r="S14" s="6"/>
      <c r="T14" s="6"/>
      <c r="U14" s="7"/>
      <c r="V14" s="5"/>
      <c r="W14" s="6"/>
      <c r="X14" s="6"/>
      <c r="Y14" s="155"/>
    </row>
    <row r="15" spans="1:26" ht="18" customHeight="1">
      <c r="A15" s="42" t="s">
        <v>52</v>
      </c>
      <c r="B15" s="43">
        <v>1</v>
      </c>
      <c r="C15" s="108"/>
      <c r="D15" s="108"/>
      <c r="E15" s="108"/>
      <c r="F15" s="108"/>
      <c r="G15" s="108"/>
      <c r="H15" s="108"/>
      <c r="I15" s="108"/>
      <c r="J15" s="108"/>
      <c r="K15" s="108"/>
      <c r="L15" s="108"/>
      <c r="M15" s="50"/>
      <c r="N15" s="61" t="str">
        <f t="shared" ref="N15:N29" si="0">IF(C15&lt;&gt;"",AVERAGE(C15:L15),"")</f>
        <v/>
      </c>
      <c r="O15" s="156" t="s">
        <v>53</v>
      </c>
      <c r="P15" s="15" t="s">
        <v>40</v>
      </c>
      <c r="Q15" s="157" t="s">
        <v>54</v>
      </c>
      <c r="T15" s="37" t="s">
        <v>44</v>
      </c>
      <c r="U15" s="52" t="s">
        <v>560</v>
      </c>
      <c r="V15" s="30" t="s">
        <v>55</v>
      </c>
      <c r="W15" s="15" t="s">
        <v>40</v>
      </c>
      <c r="X15" t="s">
        <v>107</v>
      </c>
      <c r="Y15" s="19"/>
    </row>
    <row r="16" spans="1:26" ht="18" customHeight="1">
      <c r="A16" s="44">
        <v>2</v>
      </c>
      <c r="B16" s="40">
        <v>2</v>
      </c>
      <c r="C16" s="109"/>
      <c r="D16" s="109"/>
      <c r="E16" s="109"/>
      <c r="F16" s="109"/>
      <c r="G16" s="109"/>
      <c r="H16" s="109"/>
      <c r="I16" s="109"/>
      <c r="J16" s="109"/>
      <c r="K16" s="109"/>
      <c r="L16" s="109"/>
      <c r="M16" s="1"/>
      <c r="N16" s="62" t="str">
        <f t="shared" si="0"/>
        <v/>
      </c>
      <c r="O16" s="127"/>
      <c r="P16" s="15" t="s">
        <v>40</v>
      </c>
      <c r="Q16" t="str">
        <f>IF(C15&lt;&gt;"",CONCATENATE(TEXT($N$32,"0.000")," x ",CHOOSE($F$11,0,U16,U17)),"")</f>
        <v/>
      </c>
      <c r="T16" s="28">
        <v>2</v>
      </c>
      <c r="U16" s="51">
        <v>0.88619999999999999</v>
      </c>
      <c r="V16" s="30"/>
      <c r="W16" s="15" t="s">
        <v>40</v>
      </c>
      <c r="X16" t="str">
        <f>IF(C15&lt;&gt;"",CONCATENATE("100(",TEXT($Q$17,"0.000"),"/",TEXT($Q$35,"0.000"),")"),"")</f>
        <v/>
      </c>
      <c r="Y16" s="19"/>
    </row>
    <row r="17" spans="1:25" ht="18" customHeight="1">
      <c r="A17" s="45">
        <f>A16+1</f>
        <v>3</v>
      </c>
      <c r="B17" s="41">
        <v>3</v>
      </c>
      <c r="C17" s="109"/>
      <c r="D17" s="109"/>
      <c r="E17" s="109"/>
      <c r="F17" s="109"/>
      <c r="G17" s="109"/>
      <c r="H17" s="109"/>
      <c r="I17" s="109"/>
      <c r="J17" s="109"/>
      <c r="K17" s="109"/>
      <c r="L17" s="109"/>
      <c r="M17" s="1"/>
      <c r="N17" s="62" t="str">
        <f t="shared" si="0"/>
        <v/>
      </c>
      <c r="O17" s="158"/>
      <c r="P17" s="3" t="s">
        <v>40</v>
      </c>
      <c r="Q17" s="71" t="str">
        <f>IF(C15&lt;&gt;"",$N$32*(CHOOSE($F$11,0,U16,U17)),"")</f>
        <v/>
      </c>
      <c r="R17" s="1"/>
      <c r="S17" s="1"/>
      <c r="T17" s="29">
        <v>3</v>
      </c>
      <c r="U17" s="41">
        <v>0.59079999999999999</v>
      </c>
      <c r="V17" s="10"/>
      <c r="W17" s="3" t="s">
        <v>40</v>
      </c>
      <c r="X17" s="67" t="str">
        <f>IF(C15&lt;&gt;"",100*($Q$17/$Q$35),"")</f>
        <v/>
      </c>
      <c r="Y17" s="22"/>
    </row>
    <row r="18" spans="1:25" ht="18" customHeight="1">
      <c r="A18" s="45">
        <f>A17+1</f>
        <v>4</v>
      </c>
      <c r="B18" s="41" t="s">
        <v>57</v>
      </c>
      <c r="C18" s="54" t="str">
        <f>IF(C15&lt;&gt;"",SUM(C15:C17)/COUNT(C15:C17),"")</f>
        <v/>
      </c>
      <c r="D18" s="54" t="str">
        <f t="shared" ref="D18:L18" si="1">IF(D15&lt;&gt;"",SUM(D15:D17)/COUNT(D15:D17),"")</f>
        <v/>
      </c>
      <c r="E18" s="54" t="str">
        <f t="shared" si="1"/>
        <v/>
      </c>
      <c r="F18" s="54" t="str">
        <f t="shared" si="1"/>
        <v/>
      </c>
      <c r="G18" s="54" t="str">
        <f t="shared" si="1"/>
        <v/>
      </c>
      <c r="H18" s="54" t="str">
        <f t="shared" si="1"/>
        <v/>
      </c>
      <c r="I18" s="54" t="str">
        <f t="shared" si="1"/>
        <v/>
      </c>
      <c r="J18" s="54" t="str">
        <f t="shared" si="1"/>
        <v/>
      </c>
      <c r="K18" s="54" t="str">
        <f t="shared" si="1"/>
        <v/>
      </c>
      <c r="L18" s="54" t="str">
        <f t="shared" si="1"/>
        <v/>
      </c>
      <c r="M18" s="119" t="s">
        <v>58</v>
      </c>
      <c r="N18" s="62" t="str">
        <f t="shared" si="0"/>
        <v/>
      </c>
      <c r="O18" s="154" t="s">
        <v>59</v>
      </c>
      <c r="P18" s="6"/>
      <c r="Q18" s="6"/>
      <c r="R18" s="6"/>
      <c r="S18" s="6"/>
      <c r="T18" s="6"/>
      <c r="U18" s="7"/>
      <c r="V18" s="5"/>
      <c r="W18" s="6"/>
      <c r="X18" s="6"/>
      <c r="Y18" s="155"/>
    </row>
    <row r="19" spans="1:25" ht="18" customHeight="1" thickBot="1">
      <c r="A19" s="46">
        <f>A18+1</f>
        <v>5</v>
      </c>
      <c r="B19" s="47" t="s">
        <v>19</v>
      </c>
      <c r="C19" s="59" t="str">
        <f>IF(C15&lt;&gt;"",MAX(C15:C17)-MIN(C15:C17),"")</f>
        <v/>
      </c>
      <c r="D19" s="59" t="str">
        <f t="shared" ref="D19:L19" si="2">IF(D15&lt;&gt;"",MAX(D15:D17)-MIN(D15:D17),"")</f>
        <v/>
      </c>
      <c r="E19" s="59" t="str">
        <f t="shared" si="2"/>
        <v/>
      </c>
      <c r="F19" s="59" t="str">
        <f t="shared" si="2"/>
        <v/>
      </c>
      <c r="G19" s="59" t="str">
        <f t="shared" si="2"/>
        <v/>
      </c>
      <c r="H19" s="59" t="str">
        <f t="shared" si="2"/>
        <v/>
      </c>
      <c r="I19" s="59" t="str">
        <f t="shared" si="2"/>
        <v/>
      </c>
      <c r="J19" s="59" t="str">
        <f t="shared" si="2"/>
        <v/>
      </c>
      <c r="K19" s="59" t="str">
        <f t="shared" si="2"/>
        <v/>
      </c>
      <c r="L19" s="59" t="str">
        <f t="shared" si="2"/>
        <v/>
      </c>
      <c r="M19" s="120" t="s">
        <v>60</v>
      </c>
      <c r="N19" s="62" t="str">
        <f t="shared" si="0"/>
        <v/>
      </c>
      <c r="O19" s="156" t="s">
        <v>61</v>
      </c>
      <c r="P19" s="15" t="s">
        <v>40</v>
      </c>
      <c r="Q19" t="s">
        <v>519</v>
      </c>
      <c r="U19" s="9"/>
      <c r="V19" s="30" t="s">
        <v>62</v>
      </c>
      <c r="W19" s="15" t="s">
        <v>40</v>
      </c>
      <c r="X19" t="s">
        <v>108</v>
      </c>
      <c r="Y19" s="19"/>
    </row>
    <row r="20" spans="1:25" ht="18" customHeight="1">
      <c r="A20" s="42" t="s">
        <v>64</v>
      </c>
      <c r="B20" s="43">
        <v>1</v>
      </c>
      <c r="C20" s="108"/>
      <c r="D20" s="108"/>
      <c r="E20" s="108"/>
      <c r="F20" s="110"/>
      <c r="G20" s="110"/>
      <c r="H20" s="110"/>
      <c r="I20" s="110"/>
      <c r="J20" s="110"/>
      <c r="K20" s="110"/>
      <c r="L20" s="110"/>
      <c r="M20" s="50"/>
      <c r="N20" s="61" t="str">
        <f t="shared" si="0"/>
        <v/>
      </c>
      <c r="O20" s="127"/>
      <c r="P20" s="15" t="s">
        <v>40</v>
      </c>
      <c r="Q20" s="36" t="str">
        <f>IF(C15&lt;&gt;"",CONCATENATE("{(",TEXT($N$33,"0.000")," x ",CHOOSE($J$11,0,T23,U23),")^2 - (",TEXT($Q$17,"0.000")," ^2/(",$H$11," x ",$F$11,"))}^1/2"),"")</f>
        <v/>
      </c>
      <c r="U20" s="9"/>
      <c r="V20" s="30"/>
      <c r="W20" s="15" t="s">
        <v>40</v>
      </c>
      <c r="X20" t="str">
        <f>IF(C15&lt;&gt;"",CONCATENATE("100(",TEXT($Q$21,"0.000"),"/",TEXT($Q$35,"0.000"),")"),"")</f>
        <v/>
      </c>
      <c r="Y20" s="19"/>
    </row>
    <row r="21" spans="1:25" ht="18" customHeight="1">
      <c r="A21" s="45">
        <v>7</v>
      </c>
      <c r="B21" s="40">
        <v>2</v>
      </c>
      <c r="C21" s="109"/>
      <c r="D21" s="109"/>
      <c r="E21" s="109"/>
      <c r="F21" s="111"/>
      <c r="G21" s="111"/>
      <c r="H21" s="111"/>
      <c r="I21" s="111"/>
      <c r="J21" s="111"/>
      <c r="K21" s="111"/>
      <c r="L21" s="111"/>
      <c r="M21" s="1"/>
      <c r="N21" s="62" t="str">
        <f t="shared" si="0"/>
        <v/>
      </c>
      <c r="O21" s="127"/>
      <c r="P21" s="15" t="s">
        <v>40</v>
      </c>
      <c r="Q21" s="72" t="str">
        <f>IF(C15="","",IF(($N$33*CHOOSE($J$11,0,T23,U23))^2-$Q$17^2/($H$11*$F$11)&lt;0,0,(($N$33*CHOOSE($J$11,0,T23,U23))^2-$Q$17^2/($H$11*$F$11))^(1/2)))</f>
        <v/>
      </c>
      <c r="U21" s="9"/>
      <c r="V21" s="30"/>
      <c r="W21" s="15" t="s">
        <v>40</v>
      </c>
      <c r="X21" s="68" t="str">
        <f>IF(C15&lt;&gt;"",100*($Q$21/$Q$35),"")</f>
        <v/>
      </c>
      <c r="Y21" s="19"/>
    </row>
    <row r="22" spans="1:25" ht="18" customHeight="1">
      <c r="A22" s="45">
        <f>A21+1</f>
        <v>8</v>
      </c>
      <c r="B22" s="41">
        <v>3</v>
      </c>
      <c r="C22" s="109"/>
      <c r="D22" s="109"/>
      <c r="E22" s="109"/>
      <c r="F22" s="111"/>
      <c r="G22" s="111"/>
      <c r="H22" s="111"/>
      <c r="I22" s="111"/>
      <c r="J22" s="111"/>
      <c r="K22" s="111"/>
      <c r="L22" s="111"/>
      <c r="M22" s="1"/>
      <c r="N22" s="62" t="str">
        <f t="shared" si="0"/>
        <v/>
      </c>
      <c r="O22" s="127"/>
      <c r="P22" s="15"/>
      <c r="Q22" s="72"/>
      <c r="S22" s="53" t="s">
        <v>46</v>
      </c>
      <c r="T22" s="37">
        <v>2</v>
      </c>
      <c r="U22" s="37">
        <v>3</v>
      </c>
      <c r="V22" s="10"/>
      <c r="W22" s="1"/>
      <c r="X22" s="1"/>
      <c r="Y22" s="22"/>
    </row>
    <row r="23" spans="1:25" ht="18" customHeight="1">
      <c r="A23" s="45">
        <f>A22+1</f>
        <v>9</v>
      </c>
      <c r="B23" s="41" t="s">
        <v>57</v>
      </c>
      <c r="C23" s="54" t="str">
        <f t="shared" ref="C23:L23" si="3">IF(C20&lt;&gt;"",SUM(C20:C22)/COUNT(C20:C22),"")</f>
        <v/>
      </c>
      <c r="D23" s="54" t="str">
        <f t="shared" si="3"/>
        <v/>
      </c>
      <c r="E23" s="54" t="str">
        <f t="shared" si="3"/>
        <v/>
      </c>
      <c r="F23" s="54" t="str">
        <f t="shared" si="3"/>
        <v/>
      </c>
      <c r="G23" s="54" t="str">
        <f t="shared" si="3"/>
        <v/>
      </c>
      <c r="H23" s="54" t="str">
        <f t="shared" si="3"/>
        <v/>
      </c>
      <c r="I23" s="54" t="str">
        <f t="shared" si="3"/>
        <v/>
      </c>
      <c r="J23" s="54" t="str">
        <f t="shared" si="3"/>
        <v/>
      </c>
      <c r="K23" s="54" t="str">
        <f t="shared" si="3"/>
        <v/>
      </c>
      <c r="L23" s="54" t="str">
        <f t="shared" si="3"/>
        <v/>
      </c>
      <c r="M23" s="119" t="s">
        <v>65</v>
      </c>
      <c r="N23" s="62" t="str">
        <f t="shared" si="0"/>
        <v/>
      </c>
      <c r="O23" s="158" t="s">
        <v>82</v>
      </c>
      <c r="P23" s="1"/>
      <c r="Q23" s="1"/>
      <c r="R23" s="1"/>
      <c r="S23" s="126" t="s">
        <v>559</v>
      </c>
      <c r="T23" s="34">
        <v>0.70709999999999995</v>
      </c>
      <c r="U23" s="159">
        <v>0.52310000000000001</v>
      </c>
      <c r="V23" s="5"/>
      <c r="W23" s="6"/>
      <c r="X23" s="6"/>
      <c r="Y23" s="155"/>
    </row>
    <row r="24" spans="1:25" ht="18" customHeight="1" thickBot="1">
      <c r="A24" s="46">
        <f>A23+1</f>
        <v>10</v>
      </c>
      <c r="B24" s="47" t="s">
        <v>19</v>
      </c>
      <c r="C24" s="59" t="str">
        <f t="shared" ref="C24:L24" si="4">IF(C20&lt;&gt;"",MAX(C20:C22)-MIN(C20:C22),"")</f>
        <v/>
      </c>
      <c r="D24" s="59" t="str">
        <f t="shared" si="4"/>
        <v/>
      </c>
      <c r="E24" s="59" t="str">
        <f t="shared" si="4"/>
        <v/>
      </c>
      <c r="F24" s="59" t="str">
        <f t="shared" si="4"/>
        <v/>
      </c>
      <c r="G24" s="59" t="str">
        <f t="shared" si="4"/>
        <v/>
      </c>
      <c r="H24" s="59" t="str">
        <f t="shared" si="4"/>
        <v/>
      </c>
      <c r="I24" s="59" t="str">
        <f t="shared" si="4"/>
        <v/>
      </c>
      <c r="J24" s="59" t="str">
        <f t="shared" si="4"/>
        <v/>
      </c>
      <c r="K24" s="59" t="str">
        <f t="shared" si="4"/>
        <v/>
      </c>
      <c r="L24" s="59" t="str">
        <f t="shared" si="4"/>
        <v/>
      </c>
      <c r="M24" s="120" t="s">
        <v>66</v>
      </c>
      <c r="N24" s="62" t="str">
        <f t="shared" si="0"/>
        <v/>
      </c>
      <c r="O24" s="154" t="s">
        <v>83</v>
      </c>
      <c r="P24" s="6"/>
      <c r="Q24" s="6"/>
      <c r="R24" s="6"/>
      <c r="S24" s="6"/>
      <c r="T24" s="6"/>
      <c r="U24" s="7"/>
      <c r="V24" s="30" t="s">
        <v>84</v>
      </c>
      <c r="W24" s="15" t="s">
        <v>40</v>
      </c>
      <c r="X24" t="s">
        <v>96</v>
      </c>
      <c r="Y24" s="19"/>
    </row>
    <row r="25" spans="1:25" ht="18" customHeight="1">
      <c r="A25" s="42" t="s">
        <v>69</v>
      </c>
      <c r="B25" s="43">
        <v>1</v>
      </c>
      <c r="C25" s="108"/>
      <c r="D25" s="108"/>
      <c r="E25" s="108"/>
      <c r="F25" s="108"/>
      <c r="G25" s="108"/>
      <c r="H25" s="108"/>
      <c r="I25" s="108"/>
      <c r="J25" s="108"/>
      <c r="K25" s="108"/>
      <c r="L25" s="108"/>
      <c r="M25" s="50"/>
      <c r="N25" s="61" t="str">
        <f t="shared" si="0"/>
        <v/>
      </c>
      <c r="O25" s="156" t="s">
        <v>86</v>
      </c>
      <c r="P25" s="15" t="s">
        <v>40</v>
      </c>
      <c r="Q25" t="s">
        <v>67</v>
      </c>
      <c r="T25" s="37" t="s">
        <v>45</v>
      </c>
      <c r="U25" s="52" t="s">
        <v>68</v>
      </c>
      <c r="V25" s="30"/>
      <c r="W25" s="15" t="s">
        <v>40</v>
      </c>
      <c r="X25" t="str">
        <f>IF(C15&lt;&gt;"",CONCATENATE("100(",TEXT($Q$27,"0.000"),"/",TEXT($Q$35,"0.000"),")"),"")</f>
        <v/>
      </c>
      <c r="Y25" s="19"/>
    </row>
    <row r="26" spans="1:25" ht="18" customHeight="1">
      <c r="A26" s="45">
        <v>12</v>
      </c>
      <c r="B26" s="40">
        <v>2</v>
      </c>
      <c r="C26" s="109"/>
      <c r="D26" s="109"/>
      <c r="E26" s="109"/>
      <c r="F26" s="109"/>
      <c r="G26" s="109"/>
      <c r="H26" s="109"/>
      <c r="I26" s="109"/>
      <c r="J26" s="109"/>
      <c r="K26" s="109"/>
      <c r="L26" s="109"/>
      <c r="M26" s="1"/>
      <c r="N26" s="62" t="str">
        <f t="shared" si="0"/>
        <v/>
      </c>
      <c r="O26" s="127"/>
      <c r="P26" s="15" t="s">
        <v>40</v>
      </c>
      <c r="Q26" s="66" t="str">
        <f>IF(C15&lt;&gt;"",CONCATENATE("{(",TEXT($Q$17,"0.000"),"^2 + ",TEXT($Q$21,"0.000"),"^2)}^1/2"),"")</f>
        <v/>
      </c>
      <c r="T26" s="28">
        <v>2</v>
      </c>
      <c r="U26" s="160">
        <v>0.70709999999999995</v>
      </c>
      <c r="V26" s="30"/>
      <c r="W26" s="15" t="s">
        <v>40</v>
      </c>
      <c r="X26" s="68" t="str">
        <f>IF(C15&lt;&gt;"",100*($Q$27/$Q$35),"")</f>
        <v/>
      </c>
      <c r="Y26" s="19"/>
    </row>
    <row r="27" spans="1:25" ht="18" customHeight="1">
      <c r="A27" s="45">
        <f>A26+1</f>
        <v>13</v>
      </c>
      <c r="B27" s="41">
        <v>3</v>
      </c>
      <c r="C27" s="109"/>
      <c r="D27" s="109"/>
      <c r="E27" s="109"/>
      <c r="F27" s="109"/>
      <c r="G27" s="109"/>
      <c r="H27" s="109"/>
      <c r="I27" s="109"/>
      <c r="J27" s="109"/>
      <c r="K27" s="109"/>
      <c r="L27" s="109"/>
      <c r="M27" s="1"/>
      <c r="N27" s="62" t="str">
        <f t="shared" si="0"/>
        <v/>
      </c>
      <c r="O27" s="158"/>
      <c r="P27" s="3" t="s">
        <v>40</v>
      </c>
      <c r="Q27" s="73" t="str">
        <f>IF(C15&lt;&gt;"",($Q$17^2+$Q$21^2)^(1/2),"")</f>
        <v/>
      </c>
      <c r="R27" s="1"/>
      <c r="S27" s="1"/>
      <c r="T27" s="28">
        <v>3</v>
      </c>
      <c r="U27" s="160">
        <v>0.52310000000000001</v>
      </c>
      <c r="V27" s="118" t="str">
        <f>IF(C16&lt;&gt;"",IF(X26&lt;10,"Gage system O.K",IF(X26&lt;30,"Gage system may be acceptable","Gage system needs improvement")),"")</f>
        <v/>
      </c>
      <c r="W27" s="69"/>
      <c r="X27" s="117"/>
      <c r="Y27" s="161"/>
    </row>
    <row r="28" spans="1:25" ht="18" customHeight="1">
      <c r="A28" s="45">
        <f>A27+1</f>
        <v>14</v>
      </c>
      <c r="B28" s="41" t="s">
        <v>57</v>
      </c>
      <c r="C28" s="54" t="str">
        <f t="shared" ref="C28:L28" si="5">IF(C25&lt;&gt;"",SUM(C25:C27)/COUNT(C25:C27),"")</f>
        <v/>
      </c>
      <c r="D28" s="54" t="str">
        <f t="shared" si="5"/>
        <v/>
      </c>
      <c r="E28" s="54" t="str">
        <f t="shared" si="5"/>
        <v/>
      </c>
      <c r="F28" s="54" t="str">
        <f t="shared" si="5"/>
        <v/>
      </c>
      <c r="G28" s="54" t="str">
        <f t="shared" si="5"/>
        <v/>
      </c>
      <c r="H28" s="54" t="str">
        <f t="shared" si="5"/>
        <v/>
      </c>
      <c r="I28" s="54" t="str">
        <f t="shared" si="5"/>
        <v/>
      </c>
      <c r="J28" s="54" t="str">
        <f t="shared" si="5"/>
        <v/>
      </c>
      <c r="K28" s="54" t="str">
        <f t="shared" si="5"/>
        <v/>
      </c>
      <c r="L28" s="54" t="str">
        <f t="shared" si="5"/>
        <v/>
      </c>
      <c r="M28" s="119" t="s">
        <v>71</v>
      </c>
      <c r="N28" s="62" t="str">
        <f t="shared" si="0"/>
        <v/>
      </c>
      <c r="O28" s="154" t="s">
        <v>70</v>
      </c>
      <c r="P28" s="6"/>
      <c r="Q28" s="6"/>
      <c r="R28" s="6"/>
      <c r="S28" s="6"/>
      <c r="T28" s="28">
        <v>4</v>
      </c>
      <c r="U28" s="160">
        <v>0.44667000000000001</v>
      </c>
      <c r="V28" s="5"/>
      <c r="W28" s="6"/>
      <c r="X28" s="6"/>
      <c r="Y28" s="155"/>
    </row>
    <row r="29" spans="1:25" ht="18" customHeight="1" thickBot="1">
      <c r="A29" s="46">
        <f>A28+1</f>
        <v>15</v>
      </c>
      <c r="B29" s="47" t="s">
        <v>19</v>
      </c>
      <c r="C29" s="59" t="str">
        <f t="shared" ref="C29:L29" si="6">IF(C25&lt;&gt;"",MAX(C25:C27)-MIN(C25:C27),"")</f>
        <v/>
      </c>
      <c r="D29" s="59" t="str">
        <f t="shared" si="6"/>
        <v/>
      </c>
      <c r="E29" s="59" t="str">
        <f t="shared" si="6"/>
        <v/>
      </c>
      <c r="F29" s="59" t="str">
        <f t="shared" si="6"/>
        <v/>
      </c>
      <c r="G29" s="59" t="str">
        <f t="shared" si="6"/>
        <v/>
      </c>
      <c r="H29" s="59" t="str">
        <f t="shared" si="6"/>
        <v/>
      </c>
      <c r="I29" s="59" t="str">
        <f t="shared" si="6"/>
        <v/>
      </c>
      <c r="J29" s="59" t="str">
        <f t="shared" si="6"/>
        <v/>
      </c>
      <c r="K29" s="59" t="str">
        <f t="shared" si="6"/>
        <v/>
      </c>
      <c r="L29" s="59" t="str">
        <f t="shared" si="6"/>
        <v/>
      </c>
      <c r="M29" s="120" t="s">
        <v>74</v>
      </c>
      <c r="N29" s="62" t="str">
        <f t="shared" si="0"/>
        <v/>
      </c>
      <c r="O29" s="156" t="s">
        <v>72</v>
      </c>
      <c r="P29" s="15" t="s">
        <v>40</v>
      </c>
      <c r="Q29" t="s">
        <v>73</v>
      </c>
      <c r="T29" s="28">
        <v>5</v>
      </c>
      <c r="U29" s="160">
        <v>0.40300000000000002</v>
      </c>
      <c r="V29" s="30" t="s">
        <v>77</v>
      </c>
      <c r="W29" s="15" t="s">
        <v>40</v>
      </c>
      <c r="X29" t="s">
        <v>109</v>
      </c>
      <c r="Y29" s="19"/>
    </row>
    <row r="30" spans="1:25" ht="18" customHeight="1">
      <c r="A30" s="55" t="s">
        <v>75</v>
      </c>
      <c r="B30" s="17"/>
      <c r="C30" s="60"/>
      <c r="D30" s="60"/>
      <c r="E30" s="60"/>
      <c r="F30" s="60"/>
      <c r="G30" s="60"/>
      <c r="H30" s="60"/>
      <c r="I30" s="60"/>
      <c r="J30" s="60"/>
      <c r="K30" s="60"/>
      <c r="L30" s="60"/>
      <c r="M30" s="121" t="s">
        <v>76</v>
      </c>
      <c r="N30" s="63" t="str">
        <f>IF(C15&lt;&gt;"",AVERAGE(C31:L31),"")</f>
        <v/>
      </c>
      <c r="O30" s="156"/>
      <c r="P30" s="15" t="s">
        <v>40</v>
      </c>
      <c r="Q30" t="str">
        <f>IF(C15&lt;&gt;"",CONCATENATE(TEXT($N$31,"0.000")," x ",CHOOSE($H$11,0,U26,U27,U28,U29,U30,U31,U32,U33,U34)),"")</f>
        <v/>
      </c>
      <c r="T30" s="28">
        <v>6</v>
      </c>
      <c r="U30" s="160">
        <v>0.37419999999999998</v>
      </c>
      <c r="V30" s="30"/>
      <c r="W30" s="15" t="s">
        <v>40</v>
      </c>
      <c r="X30" s="36" t="str">
        <f>IF(C15&lt;&gt;"",CONCATENATE("100(",TEXT($Q$31,"0.000"),"/",TEXT($Q$35,"0.000"),")"),"")</f>
        <v/>
      </c>
      <c r="Y30" s="19"/>
    </row>
    <row r="31" spans="1:25" ht="18" customHeight="1" thickBot="1">
      <c r="A31" s="56" t="s">
        <v>87</v>
      </c>
      <c r="B31" s="25"/>
      <c r="C31" s="70" t="str">
        <f>IF(C18&lt;&gt;"",SUM(C18,C23,C28)/COUNT(C18,C23,C28),"")</f>
        <v/>
      </c>
      <c r="D31" s="70" t="str">
        <f t="shared" ref="D31:L31" si="7">IF(D18&lt;&gt;"",SUM(D18,D23,D28)/COUNT(D18,D23,D28),"")</f>
        <v/>
      </c>
      <c r="E31" s="70" t="str">
        <f t="shared" si="7"/>
        <v/>
      </c>
      <c r="F31" s="70" t="str">
        <f t="shared" si="7"/>
        <v/>
      </c>
      <c r="G31" s="70" t="str">
        <f t="shared" si="7"/>
        <v/>
      </c>
      <c r="H31" s="70" t="str">
        <f t="shared" si="7"/>
        <v/>
      </c>
      <c r="I31" s="70" t="str">
        <f t="shared" si="7"/>
        <v/>
      </c>
      <c r="J31" s="70" t="str">
        <f t="shared" si="7"/>
        <v/>
      </c>
      <c r="K31" s="70" t="str">
        <f t="shared" si="7"/>
        <v/>
      </c>
      <c r="L31" s="70" t="str">
        <f t="shared" si="7"/>
        <v/>
      </c>
      <c r="M31" s="48" t="s">
        <v>99</v>
      </c>
      <c r="N31" s="64" t="str">
        <f>IF(C15&lt;&gt;"",MAX(C31:L31)-MIN(C31:L31),"")</f>
        <v/>
      </c>
      <c r="O31" s="162"/>
      <c r="P31" s="3" t="s">
        <v>40</v>
      </c>
      <c r="Q31" s="73" t="str">
        <f>IF(C15&lt;&gt;"",$N$31*CHOOSE($H$11,0,U26,U27,U28,U29,U30,U31,U32,U33,U34),"")</f>
        <v/>
      </c>
      <c r="R31" s="1"/>
      <c r="S31" s="1"/>
      <c r="T31" s="28">
        <v>7</v>
      </c>
      <c r="U31" s="160">
        <v>0.35339999999999999</v>
      </c>
      <c r="V31" s="30"/>
      <c r="W31" s="15" t="s">
        <v>40</v>
      </c>
      <c r="X31" s="163" t="str">
        <f>IF(C15&lt;&gt;"",100*($Q$31/$Q$35),"")</f>
        <v/>
      </c>
      <c r="Y31" s="19"/>
    </row>
    <row r="32" spans="1:25" ht="18" customHeight="1">
      <c r="A32" s="49">
        <f>A29+2</f>
        <v>17</v>
      </c>
      <c r="B32" s="50" t="s">
        <v>518</v>
      </c>
      <c r="C32" s="50"/>
      <c r="D32" s="50"/>
      <c r="E32" s="50"/>
      <c r="F32" s="50"/>
      <c r="G32" s="50"/>
      <c r="H32" s="50"/>
      <c r="I32" s="50"/>
      <c r="J32" s="50"/>
      <c r="K32" s="50"/>
      <c r="L32" s="50"/>
      <c r="M32" s="122" t="s">
        <v>101</v>
      </c>
      <c r="N32" s="61" t="str">
        <f>IF(C15&lt;&gt;"",SUM(N19,N24,N29)/COUNT(C15,C20,C25),"")</f>
        <v/>
      </c>
      <c r="O32" s="38" t="s">
        <v>81</v>
      </c>
      <c r="P32" s="6"/>
      <c r="Q32" s="6"/>
      <c r="R32" s="6"/>
      <c r="S32" s="6"/>
      <c r="T32" s="28">
        <v>8</v>
      </c>
      <c r="U32" s="160">
        <v>0.33750000000000002</v>
      </c>
      <c r="V32" s="10"/>
      <c r="W32" s="1"/>
      <c r="X32" s="1"/>
      <c r="Y32" s="22"/>
    </row>
    <row r="33" spans="1:25" ht="18" customHeight="1">
      <c r="A33" s="57">
        <f>A32+1</f>
        <v>18</v>
      </c>
      <c r="B33" s="164" t="s">
        <v>88</v>
      </c>
      <c r="C33" s="23"/>
      <c r="D33" s="23"/>
      <c r="E33" s="23"/>
      <c r="F33" s="23"/>
      <c r="G33" s="23"/>
      <c r="H33" s="23"/>
      <c r="I33" s="23"/>
      <c r="J33" s="23"/>
      <c r="K33" s="23"/>
      <c r="L33" s="23"/>
      <c r="M33" s="123" t="s">
        <v>103</v>
      </c>
      <c r="N33" s="65" t="str">
        <f>IF(C15&lt;&gt;"",MAX(N18,N23,N28)-MIN(N18,N23,N28),"")</f>
        <v/>
      </c>
      <c r="O33" s="30" t="s">
        <v>110</v>
      </c>
      <c r="P33" s="15" t="s">
        <v>40</v>
      </c>
      <c r="Q33" t="s">
        <v>97</v>
      </c>
      <c r="T33" s="28">
        <v>9</v>
      </c>
      <c r="U33" s="160">
        <v>0.32490000000000002</v>
      </c>
      <c r="V33" s="30" t="s">
        <v>90</v>
      </c>
      <c r="W33" s="15" t="s">
        <v>40</v>
      </c>
      <c r="X33" t="s">
        <v>91</v>
      </c>
      <c r="Y33" s="19"/>
    </row>
    <row r="34" spans="1:25" ht="18" customHeight="1">
      <c r="A34" s="57">
        <f>A33+1</f>
        <v>19</v>
      </c>
      <c r="B34" s="80" t="s">
        <v>92</v>
      </c>
      <c r="C34" s="23"/>
      <c r="D34" s="23"/>
      <c r="E34" s="102" t="str">
        <f>IF(C15="","",IF(OR(G34&lt;&gt;"",H34&lt;&gt;"",I34&lt;&gt;""),"APPRAISER",""))</f>
        <v/>
      </c>
      <c r="F34" s="78"/>
      <c r="G34" s="169" t="str">
        <f>IF(C15="","",IF(OR(AND($C19&lt;&gt;"",$C19&gt;$N$34),AND($D19&lt;&gt;"",$D19&gt;$N$34),AND($E19&lt;&gt;"",$E19&gt;$N$34),AND($F19&lt;&gt;"",$F19&gt;$N$34),AND($G19&lt;&gt;"",$G19&gt;$N$34),AND($H19&lt;&gt;"",$H19&gt;$N$34),AND($I19&lt;&gt;"",$I19&gt;$N$34),AND($J19&lt;&gt;"",$J19&gt;$N$34),AND($K19&lt;&gt;"",$K19&gt;$N$34),AND($L19&lt;&gt;"",$L19&gt;$N$34)),"A",""))</f>
        <v/>
      </c>
      <c r="H34" s="169" t="str">
        <f>IF(C15="","",IF(OR(AND($C24&lt;&gt;"",$C24&gt;$N$34),AND($D24&lt;&gt;"",$D24&gt;$N$34),AND($E24&lt;&gt;"",$E24&gt;$N$34),AND($F24&lt;&gt;"",$F24&gt;$N$34),AND($G24&lt;&gt;"",$G24&gt;$N$34),AND($H24&lt;&gt;"",$H24&gt;$N$34),AND($I24&lt;&gt;"",$I24&gt;$N$34),AND($J24&lt;&gt;"",$J24&gt;$N$34),AND($K24&lt;&gt;"",$K24&gt;$N$34),AND($L24&lt;&gt;"",$L24&gt;$N$34)),"B",""))</f>
        <v/>
      </c>
      <c r="I34" s="169" t="str">
        <f>IF(C15="","",IF(OR(AND($C29&lt;&gt;"",$C29&gt;$N$34),AND($D29&lt;&gt;"",$D29&gt;$N$34),AND($E29&lt;&gt;"",$E29&gt;$N$34),AND($F29&lt;&gt;"",$F29&gt;$N$34),AND($G29&lt;&gt;"",$G29&gt;$N$34),AND($H29&lt;&gt;"",$H29&gt;$N$34),AND($I29&lt;&gt;"",$I29&gt;$N$34),AND($J29&lt;&gt;"",$J29&gt;$N$34),AND($K29&lt;&gt;"",$K29&gt;$N$34),AND($L29&lt;&gt;"",$L29&gt;$N$34)),"C",""))</f>
        <v/>
      </c>
      <c r="J34" s="78" t="str">
        <f>IF(C15="","",IF(OR(G34&lt;&gt;"",H34&lt;&gt;"",I34&lt;&gt;""),"OUT OF CONTROL",""))</f>
        <v/>
      </c>
      <c r="K34" s="23"/>
      <c r="L34" s="23"/>
      <c r="M34" s="74" t="s">
        <v>104</v>
      </c>
      <c r="N34" s="65" t="str">
        <f>IF(C15&lt;&gt;"",IF(F11=3,2.58*N32,3.27*N32),"")</f>
        <v/>
      </c>
      <c r="O34" s="30"/>
      <c r="P34" s="115" t="s">
        <v>40</v>
      </c>
      <c r="Q34" s="68" t="str">
        <f>CONCATENATE("( ",E9," - ",D9," ) / 6")</f>
        <v>(  -  ) / 6</v>
      </c>
      <c r="T34" s="29">
        <v>10</v>
      </c>
      <c r="U34" s="165">
        <v>0.31459999999999999</v>
      </c>
      <c r="V34" s="8"/>
      <c r="W34" s="115" t="s">
        <v>40</v>
      </c>
      <c r="X34" s="36" t="str">
        <f>IF(C15&lt;&gt;"",CONCATENATE("1.41(",TEXT($Q$31,"0.000"),"/",TEXT($Q$27,"0.000"),")"),"")</f>
        <v/>
      </c>
      <c r="Y34" s="19"/>
    </row>
    <row r="35" spans="1:25" ht="18" customHeight="1">
      <c r="A35" s="166"/>
      <c r="B35" s="6"/>
      <c r="C35" s="6"/>
      <c r="D35" s="6"/>
      <c r="E35" s="6"/>
      <c r="F35" s="6"/>
      <c r="G35" s="6"/>
      <c r="H35" s="6"/>
      <c r="I35" s="6"/>
      <c r="J35" s="6"/>
      <c r="K35" s="6"/>
      <c r="L35" s="6"/>
      <c r="M35" s="6"/>
      <c r="N35" s="155"/>
      <c r="O35" s="156"/>
      <c r="P35" s="115" t="s">
        <v>40</v>
      </c>
      <c r="Q35" s="73" t="str">
        <f>IF(C15&lt;&gt;"",(E9-D9)/6,"")</f>
        <v/>
      </c>
      <c r="U35" s="7"/>
      <c r="W35" s="115" t="s">
        <v>40</v>
      </c>
      <c r="X35" s="180" t="str">
        <f>IF(C15&lt;&gt;"",TRUNC(1.41*($Q$31/$Q$27)),"")</f>
        <v/>
      </c>
      <c r="Y35" s="19"/>
    </row>
    <row r="36" spans="1:25" ht="18" customHeight="1">
      <c r="A36" s="18" t="s">
        <v>93</v>
      </c>
      <c r="N36" s="19"/>
      <c r="O36" s="162"/>
      <c r="P36" s="116"/>
      <c r="Q36" s="71"/>
      <c r="R36" s="1"/>
      <c r="S36" s="1"/>
      <c r="T36" s="1"/>
      <c r="U36" s="11"/>
      <c r="V36" s="817" t="str">
        <f>IF(X35&lt;&gt;"",IF(X35&lt;5,"Gage discrimination low","Gage discrimination acceptable"),"")</f>
        <v/>
      </c>
      <c r="W36" s="818"/>
      <c r="X36" s="818"/>
      <c r="Y36" s="819"/>
    </row>
    <row r="37" spans="1:25">
      <c r="A37" s="18" t="s">
        <v>94</v>
      </c>
      <c r="N37" s="19"/>
      <c r="O37" s="18"/>
      <c r="Y37" s="19"/>
    </row>
    <row r="38" spans="1:25">
      <c r="A38" s="18" t="s">
        <v>95</v>
      </c>
      <c r="N38" s="19"/>
      <c r="O38" s="127" t="s">
        <v>679</v>
      </c>
      <c r="Y38" s="19"/>
    </row>
    <row r="39" spans="1:25" ht="13.5" thickBot="1">
      <c r="A39" s="127"/>
      <c r="N39" s="19"/>
      <c r="O39" s="128"/>
      <c r="P39" s="167"/>
      <c r="Q39" s="20"/>
      <c r="R39" s="20"/>
      <c r="S39" s="20"/>
      <c r="T39" s="20"/>
      <c r="U39" s="20"/>
      <c r="V39" s="20"/>
      <c r="W39" s="20"/>
      <c r="X39" s="20"/>
      <c r="Y39" s="21"/>
    </row>
    <row r="40" spans="1:25">
      <c r="A40" s="18" t="s">
        <v>105</v>
      </c>
      <c r="B40" s="1"/>
      <c r="C40" s="1"/>
      <c r="D40" s="1"/>
      <c r="E40" s="1"/>
      <c r="F40" s="1"/>
      <c r="G40" s="1"/>
      <c r="H40" s="1"/>
      <c r="I40" s="1"/>
      <c r="J40" s="1"/>
      <c r="K40" s="1"/>
      <c r="L40" s="1"/>
      <c r="M40" s="1"/>
      <c r="N40" s="22"/>
      <c r="O40" s="4"/>
    </row>
    <row r="41" spans="1:25">
      <c r="A41" s="18"/>
      <c r="B41" s="1"/>
      <c r="C41" s="1"/>
      <c r="D41" s="1"/>
      <c r="E41" s="1"/>
      <c r="F41" s="1"/>
      <c r="G41" s="1"/>
      <c r="H41" s="1"/>
      <c r="I41" s="1"/>
      <c r="J41" s="1"/>
      <c r="K41" s="1"/>
      <c r="L41" s="1"/>
      <c r="M41" s="1"/>
      <c r="N41" s="22"/>
      <c r="O41" s="4"/>
    </row>
    <row r="42" spans="1:25" ht="13.5" thickBot="1">
      <c r="A42" s="128"/>
      <c r="B42" s="20"/>
      <c r="C42" s="20"/>
      <c r="D42" s="20"/>
      <c r="E42" s="20"/>
      <c r="F42" s="20"/>
      <c r="G42" s="20"/>
      <c r="H42" s="20"/>
      <c r="I42" s="20"/>
      <c r="J42" s="20"/>
      <c r="K42" s="20"/>
      <c r="L42" s="20"/>
      <c r="M42" s="20"/>
      <c r="N42" s="21"/>
      <c r="O42" s="4"/>
    </row>
  </sheetData>
  <mergeCells count="31">
    <mergeCell ref="A5:E5"/>
    <mergeCell ref="J9:N9"/>
    <mergeCell ref="J11:K11"/>
    <mergeCell ref="H11:I11"/>
    <mergeCell ref="F11:G11"/>
    <mergeCell ref="F5:I5"/>
    <mergeCell ref="A7:E7"/>
    <mergeCell ref="F9:I9"/>
    <mergeCell ref="A11:E11"/>
    <mergeCell ref="A9:C9"/>
    <mergeCell ref="R7:U7"/>
    <mergeCell ref="F2:N3"/>
    <mergeCell ref="S2:Y3"/>
    <mergeCell ref="J5:N5"/>
    <mergeCell ref="O7:Q7"/>
    <mergeCell ref="O5:Q5"/>
    <mergeCell ref="V7:Y7"/>
    <mergeCell ref="V5:Y5"/>
    <mergeCell ref="R5:U5"/>
    <mergeCell ref="J7:N7"/>
    <mergeCell ref="F7:I7"/>
    <mergeCell ref="V36:Y36"/>
    <mergeCell ref="L11:N11"/>
    <mergeCell ref="X11:Y11"/>
    <mergeCell ref="V11:W11"/>
    <mergeCell ref="V9:Y9"/>
    <mergeCell ref="R11:S11"/>
    <mergeCell ref="O11:Q11"/>
    <mergeCell ref="O9:Q9"/>
    <mergeCell ref="T11:U11"/>
    <mergeCell ref="R9:U9"/>
  </mergeCells>
  <phoneticPr fontId="27" type="noConversion"/>
  <printOptions horizontalCentered="1"/>
  <pageMargins left="0.75" right="0.75" top="0.97916666666666696" bottom="0.75" header="0.5" footer="0.5"/>
  <pageSetup orientation="portrait" horizontalDpi="300" r:id="rId1"/>
  <headerFooter>
    <oddHeader>&amp;L&amp;G&amp;C&amp;"Arial,Bold"&amp;14           GAGE R&amp;&amp;R DATA SHEET</oddHeader>
    <oddFooter>&amp;C&amp;F</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0E05-DFE9-4534-B4DA-712925BE5B30}">
  <sheetPr>
    <pageSetUpPr fitToPage="1"/>
  </sheetPr>
  <dimension ref="A1:T34"/>
  <sheetViews>
    <sheetView showGridLines="0" showRowColHeaders="0" view="pageLayout" zoomScaleNormal="100" workbookViewId="0">
      <selection activeCell="M15" sqref="M15:R15"/>
    </sheetView>
  </sheetViews>
  <sheetFormatPr defaultColWidth="0" defaultRowHeight="12.75"/>
  <cols>
    <col min="1" max="1" width="1.5703125" style="291" customWidth="1"/>
    <col min="2" max="17" width="5.5703125" style="291" customWidth="1"/>
    <col min="18" max="18" width="11.5703125" style="291" customWidth="1"/>
    <col min="19" max="19" width="4.7109375" style="291" customWidth="1"/>
    <col min="20" max="20" width="0.7109375" style="291" customWidth="1"/>
    <col min="21" max="16384" width="9.140625" style="291" hidden="1"/>
  </cols>
  <sheetData>
    <row r="1" spans="1:19" ht="21.6" customHeight="1">
      <c r="A1" s="314"/>
      <c r="B1" s="311"/>
      <c r="C1" s="311"/>
      <c r="D1" s="311"/>
      <c r="E1" s="311"/>
      <c r="F1" s="311"/>
      <c r="G1" s="311"/>
      <c r="H1" s="311"/>
      <c r="I1" s="311"/>
      <c r="J1" s="311"/>
      <c r="K1" s="311"/>
      <c r="L1" s="311"/>
      <c r="M1" s="311"/>
      <c r="N1" s="311"/>
      <c r="O1" s="311"/>
      <c r="P1" s="311"/>
      <c r="Q1" s="311"/>
      <c r="R1" s="311"/>
      <c r="S1" s="313"/>
    </row>
    <row r="2" spans="1:19">
      <c r="A2" s="300"/>
      <c r="B2" s="299" t="s">
        <v>309</v>
      </c>
      <c r="D2" s="662">
        <f>'Header Info'!C6</f>
        <v>0</v>
      </c>
      <c r="E2" s="662"/>
      <c r="F2" s="662"/>
      <c r="G2" s="662"/>
      <c r="H2" s="662"/>
      <c r="I2" s="662"/>
      <c r="J2" s="663" t="s">
        <v>310</v>
      </c>
      <c r="K2" s="663"/>
      <c r="L2" s="663"/>
      <c r="M2" s="662">
        <f>'Header Info'!C7</f>
        <v>0</v>
      </c>
      <c r="N2" s="662"/>
      <c r="O2" s="662"/>
      <c r="P2" s="312" t="s">
        <v>147</v>
      </c>
      <c r="Q2" s="662">
        <f>'Header Info'!C8</f>
        <v>0</v>
      </c>
      <c r="R2" s="662"/>
      <c r="S2" s="297"/>
    </row>
    <row r="3" spans="1:19">
      <c r="A3" s="300"/>
      <c r="G3" s="311"/>
      <c r="H3" s="310"/>
      <c r="I3" s="310"/>
      <c r="Q3" s="299"/>
      <c r="S3" s="297"/>
    </row>
    <row r="4" spans="1:19">
      <c r="A4" s="300"/>
      <c r="B4" s="305" t="s">
        <v>954</v>
      </c>
      <c r="J4" s="305" t="s">
        <v>230</v>
      </c>
      <c r="S4" s="297"/>
    </row>
    <row r="5" spans="1:19" ht="6" customHeight="1">
      <c r="A5" s="300"/>
      <c r="S5" s="297"/>
    </row>
    <row r="6" spans="1:19">
      <c r="A6" s="300"/>
      <c r="B6" s="661">
        <f>'Header Info'!C11</f>
        <v>0</v>
      </c>
      <c r="C6" s="661"/>
      <c r="D6" s="661"/>
      <c r="E6" s="661"/>
      <c r="F6" s="661"/>
      <c r="G6" s="661"/>
      <c r="H6" s="306">
        <f>'Header Info'!C12</f>
        <v>0</v>
      </c>
      <c r="J6" s="661">
        <f>'Header Info'!C16</f>
        <v>0</v>
      </c>
      <c r="K6" s="661"/>
      <c r="L6" s="661"/>
      <c r="M6" s="661"/>
      <c r="N6" s="661"/>
      <c r="O6" s="661"/>
      <c r="P6" s="661"/>
      <c r="Q6" s="661"/>
      <c r="R6" s="306"/>
      <c r="S6" s="297"/>
    </row>
    <row r="7" spans="1:19" ht="10.5" customHeight="1">
      <c r="A7" s="300"/>
      <c r="B7" s="299" t="s">
        <v>955</v>
      </c>
      <c r="G7" s="299" t="s">
        <v>326</v>
      </c>
      <c r="J7" s="307" t="s">
        <v>944</v>
      </c>
      <c r="R7" s="307"/>
      <c r="S7" s="297"/>
    </row>
    <row r="8" spans="1:19" ht="6.75" customHeight="1">
      <c r="A8" s="300"/>
      <c r="S8" s="297"/>
    </row>
    <row r="9" spans="1:19">
      <c r="A9" s="300"/>
      <c r="B9" s="661">
        <f>'Header Info'!C13</f>
        <v>0</v>
      </c>
      <c r="C9" s="661"/>
      <c r="D9" s="661"/>
      <c r="E9" s="661"/>
      <c r="F9" s="661"/>
      <c r="G9" s="661"/>
      <c r="H9" s="661"/>
      <c r="J9" s="661">
        <f>'Header Info'!C18</f>
        <v>0</v>
      </c>
      <c r="K9" s="661"/>
      <c r="L9" s="661"/>
      <c r="M9" s="661"/>
      <c r="N9" s="661"/>
      <c r="O9" s="661"/>
      <c r="P9" s="661"/>
      <c r="Q9" s="661"/>
      <c r="R9" s="661"/>
      <c r="S9" s="297"/>
    </row>
    <row r="10" spans="1:19" ht="10.5" customHeight="1">
      <c r="A10" s="300"/>
      <c r="B10" s="299" t="s">
        <v>318</v>
      </c>
      <c r="J10" s="299" t="s">
        <v>957</v>
      </c>
      <c r="S10" s="297"/>
    </row>
    <row r="11" spans="1:19" ht="6" customHeight="1">
      <c r="A11" s="300"/>
      <c r="R11" s="303"/>
      <c r="S11" s="297"/>
    </row>
    <row r="12" spans="1:19">
      <c r="A12" s="300"/>
      <c r="B12" s="661">
        <f>'Header Info'!C14</f>
        <v>0</v>
      </c>
      <c r="C12" s="661"/>
      <c r="D12" s="661"/>
      <c r="E12" s="661"/>
      <c r="F12" s="661"/>
      <c r="G12" s="661"/>
      <c r="H12" s="661"/>
      <c r="J12" s="661">
        <f>'Header Info'!C17</f>
        <v>0</v>
      </c>
      <c r="K12" s="661"/>
      <c r="L12" s="661"/>
      <c r="M12" s="661"/>
      <c r="N12" s="661"/>
      <c r="O12" s="661"/>
      <c r="P12" s="661"/>
      <c r="Q12" s="661"/>
      <c r="R12" s="661"/>
      <c r="S12" s="297"/>
    </row>
    <row r="13" spans="1:19">
      <c r="A13" s="300"/>
      <c r="B13" s="299" t="s">
        <v>961</v>
      </c>
      <c r="E13" s="299"/>
      <c r="H13" s="301"/>
      <c r="J13" s="299" t="s">
        <v>962</v>
      </c>
      <c r="S13" s="297"/>
    </row>
    <row r="14" spans="1:19">
      <c r="A14" s="300"/>
      <c r="B14" s="299"/>
      <c r="F14" s="299"/>
      <c r="H14" s="301"/>
      <c r="J14" s="299"/>
      <c r="S14" s="297"/>
    </row>
    <row r="15" spans="1:19">
      <c r="A15" s="300"/>
      <c r="B15" s="299" t="s">
        <v>959</v>
      </c>
      <c r="D15" s="664">
        <f>'Header Info'!C4</f>
        <v>0</v>
      </c>
      <c r="E15" s="662"/>
      <c r="F15" s="662"/>
      <c r="G15" s="662"/>
      <c r="H15" s="662"/>
      <c r="I15" s="662"/>
      <c r="J15" s="663" t="s">
        <v>960</v>
      </c>
      <c r="K15" s="663"/>
      <c r="L15" s="663"/>
      <c r="M15" s="664">
        <f>'Header Info'!C5</f>
        <v>0</v>
      </c>
      <c r="N15" s="662"/>
      <c r="O15" s="662"/>
      <c r="P15" s="662"/>
      <c r="Q15" s="662"/>
      <c r="R15" s="662"/>
      <c r="S15" s="297"/>
    </row>
    <row r="16" spans="1:19">
      <c r="A16" s="300"/>
      <c r="B16" s="299"/>
      <c r="F16" s="299"/>
      <c r="H16" s="301"/>
      <c r="J16" s="299"/>
      <c r="S16" s="297"/>
    </row>
    <row r="17" spans="1:19">
      <c r="A17" s="300"/>
      <c r="S17" s="297"/>
    </row>
    <row r="18" spans="1:19">
      <c r="A18" s="300"/>
      <c r="B18" s="305" t="s">
        <v>231</v>
      </c>
      <c r="S18" s="297"/>
    </row>
    <row r="19" spans="1:19">
      <c r="A19" s="300"/>
      <c r="C19" s="299" t="s">
        <v>232</v>
      </c>
      <c r="L19" s="299" t="s">
        <v>233</v>
      </c>
      <c r="S19" s="297"/>
    </row>
    <row r="20" spans="1:19">
      <c r="A20" s="300"/>
      <c r="C20" s="299" t="s">
        <v>234</v>
      </c>
      <c r="L20" s="299" t="s">
        <v>235</v>
      </c>
      <c r="S20" s="297"/>
    </row>
    <row r="21" spans="1:19">
      <c r="A21" s="300"/>
      <c r="C21" s="299" t="s">
        <v>150</v>
      </c>
      <c r="L21" s="299" t="s">
        <v>236</v>
      </c>
      <c r="S21" s="297"/>
    </row>
    <row r="22" spans="1:19">
      <c r="A22" s="300"/>
      <c r="C22" s="299" t="s">
        <v>244</v>
      </c>
      <c r="L22" s="299" t="s">
        <v>245</v>
      </c>
      <c r="S22" s="297"/>
    </row>
    <row r="23" spans="1:19">
      <c r="A23" s="300"/>
      <c r="C23" s="299" t="s">
        <v>263</v>
      </c>
      <c r="L23" s="299" t="s">
        <v>251</v>
      </c>
      <c r="S23" s="297"/>
    </row>
    <row r="24" spans="1:19">
      <c r="A24" s="300"/>
      <c r="L24" s="295"/>
      <c r="M24" s="295"/>
      <c r="N24" s="295"/>
      <c r="O24" s="295"/>
      <c r="P24" s="295"/>
      <c r="Q24" s="295"/>
      <c r="S24" s="297"/>
    </row>
    <row r="25" spans="1:19">
      <c r="A25" s="300"/>
      <c r="B25" s="305" t="s">
        <v>956</v>
      </c>
      <c r="S25" s="297"/>
    </row>
    <row r="26" spans="1:19">
      <c r="A26" s="300"/>
      <c r="C26" s="299" t="s">
        <v>912</v>
      </c>
      <c r="S26" s="297"/>
    </row>
    <row r="27" spans="1:19">
      <c r="A27" s="300"/>
      <c r="C27" s="299" t="s">
        <v>913</v>
      </c>
      <c r="S27" s="297"/>
    </row>
    <row r="28" spans="1:19">
      <c r="A28" s="300"/>
      <c r="C28" s="299" t="s">
        <v>914</v>
      </c>
      <c r="O28" s="299"/>
      <c r="S28" s="297"/>
    </row>
    <row r="29" spans="1:19">
      <c r="A29" s="300"/>
      <c r="C29" s="299" t="s">
        <v>915</v>
      </c>
      <c r="L29" s="299"/>
      <c r="S29" s="297"/>
    </row>
    <row r="30" spans="1:19">
      <c r="A30" s="300"/>
      <c r="S30" s="297"/>
    </row>
    <row r="31" spans="1:19">
      <c r="A31" s="300"/>
      <c r="C31" s="299" t="s">
        <v>149</v>
      </c>
      <c r="S31" s="297"/>
    </row>
    <row r="32" spans="1:19">
      <c r="A32" s="300"/>
      <c r="C32" s="299" t="s">
        <v>265</v>
      </c>
      <c r="S32" s="297"/>
    </row>
    <row r="33" spans="1:19" ht="6" customHeight="1">
      <c r="A33" s="300"/>
      <c r="S33" s="297"/>
    </row>
    <row r="34" spans="1:19" ht="9" customHeight="1">
      <c r="A34" s="296"/>
      <c r="B34" s="295"/>
      <c r="C34" s="295"/>
      <c r="D34" s="295"/>
      <c r="E34" s="295"/>
      <c r="F34" s="295"/>
      <c r="G34" s="295"/>
      <c r="H34" s="295"/>
      <c r="I34" s="295"/>
      <c r="J34" s="295"/>
      <c r="K34" s="295"/>
      <c r="L34" s="295"/>
      <c r="M34" s="295"/>
      <c r="N34" s="295"/>
      <c r="O34" s="295"/>
      <c r="P34" s="295"/>
      <c r="Q34" s="295"/>
      <c r="R34" s="295"/>
      <c r="S34" s="294"/>
    </row>
  </sheetData>
  <mergeCells count="13">
    <mergeCell ref="D15:I15"/>
    <mergeCell ref="J15:L15"/>
    <mergeCell ref="M15:R15"/>
    <mergeCell ref="B9:H9"/>
    <mergeCell ref="J9:R9"/>
    <mergeCell ref="B12:H12"/>
    <mergeCell ref="J12:R12"/>
    <mergeCell ref="B6:G6"/>
    <mergeCell ref="J6:Q6"/>
    <mergeCell ref="D2:I2"/>
    <mergeCell ref="J2:L2"/>
    <mergeCell ref="M2:O2"/>
    <mergeCell ref="Q2:R2"/>
  </mergeCells>
  <printOptions horizontalCentered="1"/>
  <pageMargins left="0.45" right="0.45" top="1.25" bottom="0.75" header="0.3" footer="0.3"/>
  <pageSetup scale="92" orientation="portrait" horizontalDpi="300" verticalDpi="1200" r:id="rId1"/>
  <headerFooter alignWithMargins="0">
    <oddHeader xml:space="preserve">&amp;L&amp;G&amp;C&amp;"Arial,Bold"&amp;14PPAP SUBMISSION
REQUIREMENTS      </oddHeader>
    <oddFooter>&amp;C&amp;F Revision 6.0</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123201" r:id="rId5" name="Check Box 1">
              <controlPr locked="0" defaultSize="0" autoFill="0" autoLine="0" autoPict="0">
                <anchor moveWithCells="1">
                  <from>
                    <xdr:col>1</xdr:col>
                    <xdr:colOff>38100</xdr:colOff>
                    <xdr:row>17</xdr:row>
                    <xdr:rowOff>142875</xdr:rowOff>
                  </from>
                  <to>
                    <xdr:col>1</xdr:col>
                    <xdr:colOff>333375</xdr:colOff>
                    <xdr:row>19</xdr:row>
                    <xdr:rowOff>28575</xdr:rowOff>
                  </to>
                </anchor>
              </controlPr>
            </control>
          </mc:Choice>
        </mc:AlternateContent>
        <mc:AlternateContent xmlns:mc="http://schemas.openxmlformats.org/markup-compatibility/2006">
          <mc:Choice Requires="x14">
            <control shapeId="3123202" r:id="rId6" name="Check Box 2">
              <controlPr locked="0" defaultSize="0" autoFill="0" autoLine="0" autoPict="0">
                <anchor moveWithCells="1">
                  <from>
                    <xdr:col>1</xdr:col>
                    <xdr:colOff>38100</xdr:colOff>
                    <xdr:row>18</xdr:row>
                    <xdr:rowOff>133350</xdr:rowOff>
                  </from>
                  <to>
                    <xdr:col>1</xdr:col>
                    <xdr:colOff>333375</xdr:colOff>
                    <xdr:row>20</xdr:row>
                    <xdr:rowOff>19050</xdr:rowOff>
                  </to>
                </anchor>
              </controlPr>
            </control>
          </mc:Choice>
        </mc:AlternateContent>
        <mc:AlternateContent xmlns:mc="http://schemas.openxmlformats.org/markup-compatibility/2006">
          <mc:Choice Requires="x14">
            <control shapeId="3123203" r:id="rId7" name="Check Box 3">
              <controlPr locked="0" defaultSize="0" autoFill="0" autoLine="0" autoPict="0">
                <anchor moveWithCells="1">
                  <from>
                    <xdr:col>1</xdr:col>
                    <xdr:colOff>38100</xdr:colOff>
                    <xdr:row>19</xdr:row>
                    <xdr:rowOff>133350</xdr:rowOff>
                  </from>
                  <to>
                    <xdr:col>1</xdr:col>
                    <xdr:colOff>333375</xdr:colOff>
                    <xdr:row>21</xdr:row>
                    <xdr:rowOff>19050</xdr:rowOff>
                  </to>
                </anchor>
              </controlPr>
            </control>
          </mc:Choice>
        </mc:AlternateContent>
        <mc:AlternateContent xmlns:mc="http://schemas.openxmlformats.org/markup-compatibility/2006">
          <mc:Choice Requires="x14">
            <control shapeId="3123204" r:id="rId8" name="Check Box 4">
              <controlPr locked="0" defaultSize="0" autoFill="0" autoLine="0" autoPict="0">
                <anchor moveWithCells="1">
                  <from>
                    <xdr:col>1</xdr:col>
                    <xdr:colOff>38100</xdr:colOff>
                    <xdr:row>20</xdr:row>
                    <xdr:rowOff>133350</xdr:rowOff>
                  </from>
                  <to>
                    <xdr:col>1</xdr:col>
                    <xdr:colOff>333375</xdr:colOff>
                    <xdr:row>22</xdr:row>
                    <xdr:rowOff>19050</xdr:rowOff>
                  </to>
                </anchor>
              </controlPr>
            </control>
          </mc:Choice>
        </mc:AlternateContent>
        <mc:AlternateContent xmlns:mc="http://schemas.openxmlformats.org/markup-compatibility/2006">
          <mc:Choice Requires="x14">
            <control shapeId="3123205" r:id="rId9" name="Check Box 5">
              <controlPr locked="0" defaultSize="0" autoFill="0" autoLine="0" autoPict="0">
                <anchor moveWithCells="1">
                  <from>
                    <xdr:col>1</xdr:col>
                    <xdr:colOff>38100</xdr:colOff>
                    <xdr:row>21</xdr:row>
                    <xdr:rowOff>142875</xdr:rowOff>
                  </from>
                  <to>
                    <xdr:col>1</xdr:col>
                    <xdr:colOff>333375</xdr:colOff>
                    <xdr:row>23</xdr:row>
                    <xdr:rowOff>28575</xdr:rowOff>
                  </to>
                </anchor>
              </controlPr>
            </control>
          </mc:Choice>
        </mc:AlternateContent>
        <mc:AlternateContent xmlns:mc="http://schemas.openxmlformats.org/markup-compatibility/2006">
          <mc:Choice Requires="x14">
            <control shapeId="3123206" r:id="rId10" name="Check Box 6">
              <controlPr locked="0" defaultSize="0" autoFill="0" autoLine="0" autoPict="0">
                <anchor moveWithCells="1">
                  <from>
                    <xdr:col>10</xdr:col>
                    <xdr:colOff>38100</xdr:colOff>
                    <xdr:row>19</xdr:row>
                    <xdr:rowOff>133350</xdr:rowOff>
                  </from>
                  <to>
                    <xdr:col>10</xdr:col>
                    <xdr:colOff>333375</xdr:colOff>
                    <xdr:row>21</xdr:row>
                    <xdr:rowOff>19050</xdr:rowOff>
                  </to>
                </anchor>
              </controlPr>
            </control>
          </mc:Choice>
        </mc:AlternateContent>
        <mc:AlternateContent xmlns:mc="http://schemas.openxmlformats.org/markup-compatibility/2006">
          <mc:Choice Requires="x14">
            <control shapeId="3123207" r:id="rId11" name="Check Box 7">
              <controlPr locked="0" defaultSize="0" autoFill="0" autoLine="0" autoPict="0">
                <anchor moveWithCells="1">
                  <from>
                    <xdr:col>10</xdr:col>
                    <xdr:colOff>38100</xdr:colOff>
                    <xdr:row>18</xdr:row>
                    <xdr:rowOff>133350</xdr:rowOff>
                  </from>
                  <to>
                    <xdr:col>10</xdr:col>
                    <xdr:colOff>333375</xdr:colOff>
                    <xdr:row>20</xdr:row>
                    <xdr:rowOff>19050</xdr:rowOff>
                  </to>
                </anchor>
              </controlPr>
            </control>
          </mc:Choice>
        </mc:AlternateContent>
        <mc:AlternateContent xmlns:mc="http://schemas.openxmlformats.org/markup-compatibility/2006">
          <mc:Choice Requires="x14">
            <control shapeId="3123208" r:id="rId12" name="Check Box 8">
              <controlPr locked="0" defaultSize="0" autoFill="0" autoLine="0" autoPict="0">
                <anchor moveWithCells="1">
                  <from>
                    <xdr:col>10</xdr:col>
                    <xdr:colOff>38100</xdr:colOff>
                    <xdr:row>17</xdr:row>
                    <xdr:rowOff>133350</xdr:rowOff>
                  </from>
                  <to>
                    <xdr:col>10</xdr:col>
                    <xdr:colOff>333375</xdr:colOff>
                    <xdr:row>19</xdr:row>
                    <xdr:rowOff>19050</xdr:rowOff>
                  </to>
                </anchor>
              </controlPr>
            </control>
          </mc:Choice>
        </mc:AlternateContent>
        <mc:AlternateContent xmlns:mc="http://schemas.openxmlformats.org/markup-compatibility/2006">
          <mc:Choice Requires="x14">
            <control shapeId="3123209" r:id="rId13" name="Check Box 9">
              <controlPr locked="0" defaultSize="0" autoFill="0" autoLine="0" autoPict="0">
                <anchor moveWithCells="1">
                  <from>
                    <xdr:col>1</xdr:col>
                    <xdr:colOff>47625</xdr:colOff>
                    <xdr:row>30</xdr:row>
                    <xdr:rowOff>133350</xdr:rowOff>
                  </from>
                  <to>
                    <xdr:col>1</xdr:col>
                    <xdr:colOff>342900</xdr:colOff>
                    <xdr:row>32</xdr:row>
                    <xdr:rowOff>19050</xdr:rowOff>
                  </to>
                </anchor>
              </controlPr>
            </control>
          </mc:Choice>
        </mc:AlternateContent>
        <mc:AlternateContent xmlns:mc="http://schemas.openxmlformats.org/markup-compatibility/2006">
          <mc:Choice Requires="x14">
            <control shapeId="3123210" r:id="rId14" name="Check Box 10">
              <controlPr locked="0" defaultSize="0" autoFill="0" autoLine="0" autoPict="0">
                <anchor moveWithCells="1">
                  <from>
                    <xdr:col>1</xdr:col>
                    <xdr:colOff>47625</xdr:colOff>
                    <xdr:row>27</xdr:row>
                    <xdr:rowOff>142875</xdr:rowOff>
                  </from>
                  <to>
                    <xdr:col>1</xdr:col>
                    <xdr:colOff>342900</xdr:colOff>
                    <xdr:row>29</xdr:row>
                    <xdr:rowOff>28575</xdr:rowOff>
                  </to>
                </anchor>
              </controlPr>
            </control>
          </mc:Choice>
        </mc:AlternateContent>
        <mc:AlternateContent xmlns:mc="http://schemas.openxmlformats.org/markup-compatibility/2006">
          <mc:Choice Requires="x14">
            <control shapeId="3123211" r:id="rId15" name="Check Box 11">
              <controlPr locked="0" defaultSize="0" autoFill="0" autoLine="0" autoPict="0">
                <anchor moveWithCells="1">
                  <from>
                    <xdr:col>1</xdr:col>
                    <xdr:colOff>47625</xdr:colOff>
                    <xdr:row>26</xdr:row>
                    <xdr:rowOff>133350</xdr:rowOff>
                  </from>
                  <to>
                    <xdr:col>1</xdr:col>
                    <xdr:colOff>342900</xdr:colOff>
                    <xdr:row>28</xdr:row>
                    <xdr:rowOff>19050</xdr:rowOff>
                  </to>
                </anchor>
              </controlPr>
            </control>
          </mc:Choice>
        </mc:AlternateContent>
        <mc:AlternateContent xmlns:mc="http://schemas.openxmlformats.org/markup-compatibility/2006">
          <mc:Choice Requires="x14">
            <control shapeId="3123212" r:id="rId16" name="Check Box 12">
              <controlPr locked="0" defaultSize="0" autoFill="0" autoLine="0" autoPict="0">
                <anchor moveWithCells="1">
                  <from>
                    <xdr:col>1</xdr:col>
                    <xdr:colOff>47625</xdr:colOff>
                    <xdr:row>25</xdr:row>
                    <xdr:rowOff>133350</xdr:rowOff>
                  </from>
                  <to>
                    <xdr:col>1</xdr:col>
                    <xdr:colOff>342900</xdr:colOff>
                    <xdr:row>27</xdr:row>
                    <xdr:rowOff>19050</xdr:rowOff>
                  </to>
                </anchor>
              </controlPr>
            </control>
          </mc:Choice>
        </mc:AlternateContent>
        <mc:AlternateContent xmlns:mc="http://schemas.openxmlformats.org/markup-compatibility/2006">
          <mc:Choice Requires="x14">
            <control shapeId="3123213" r:id="rId17" name="Check Box 13">
              <controlPr locked="0" defaultSize="0" autoFill="0" autoLine="0" autoPict="0">
                <anchor moveWithCells="1">
                  <from>
                    <xdr:col>1</xdr:col>
                    <xdr:colOff>47625</xdr:colOff>
                    <xdr:row>24</xdr:row>
                    <xdr:rowOff>123825</xdr:rowOff>
                  </from>
                  <to>
                    <xdr:col>1</xdr:col>
                    <xdr:colOff>342900</xdr:colOff>
                    <xdr:row>26</xdr:row>
                    <xdr:rowOff>9525</xdr:rowOff>
                  </to>
                </anchor>
              </controlPr>
            </control>
          </mc:Choice>
        </mc:AlternateContent>
        <mc:AlternateContent xmlns:mc="http://schemas.openxmlformats.org/markup-compatibility/2006">
          <mc:Choice Requires="x14">
            <control shapeId="3123217" r:id="rId18" name="Check Box 17">
              <controlPr locked="0" defaultSize="0" autoFill="0" autoLine="0" autoPict="0">
                <anchor moveWithCells="1">
                  <from>
                    <xdr:col>10</xdr:col>
                    <xdr:colOff>38100</xdr:colOff>
                    <xdr:row>20</xdr:row>
                    <xdr:rowOff>133350</xdr:rowOff>
                  </from>
                  <to>
                    <xdr:col>10</xdr:col>
                    <xdr:colOff>333375</xdr:colOff>
                    <xdr:row>22</xdr:row>
                    <xdr:rowOff>19050</xdr:rowOff>
                  </to>
                </anchor>
              </controlPr>
            </control>
          </mc:Choice>
        </mc:AlternateContent>
        <mc:AlternateContent xmlns:mc="http://schemas.openxmlformats.org/markup-compatibility/2006">
          <mc:Choice Requires="x14">
            <control shapeId="3123222" r:id="rId19" name="Check Box 22">
              <controlPr locked="0" defaultSize="0" autoFill="0" autoLine="0" autoPict="0">
                <anchor moveWithCells="1">
                  <from>
                    <xdr:col>10</xdr:col>
                    <xdr:colOff>38100</xdr:colOff>
                    <xdr:row>21</xdr:row>
                    <xdr:rowOff>133350</xdr:rowOff>
                  </from>
                  <to>
                    <xdr:col>10</xdr:col>
                    <xdr:colOff>333375</xdr:colOff>
                    <xdr:row>23</xdr:row>
                    <xdr:rowOff>19050</xdr:rowOff>
                  </to>
                </anchor>
              </controlPr>
            </control>
          </mc:Choice>
        </mc:AlternateContent>
        <mc:AlternateContent xmlns:mc="http://schemas.openxmlformats.org/markup-compatibility/2006">
          <mc:Choice Requires="x14">
            <control shapeId="3123223" r:id="rId20" name="Check Box 23">
              <controlPr locked="0" defaultSize="0" autoFill="0" autoLine="0" autoPict="0">
                <anchor moveWithCells="1">
                  <from>
                    <xdr:col>3</xdr:col>
                    <xdr:colOff>219075</xdr:colOff>
                    <xdr:row>29</xdr:row>
                    <xdr:rowOff>133350</xdr:rowOff>
                  </from>
                  <to>
                    <xdr:col>4</xdr:col>
                    <xdr:colOff>152400</xdr:colOff>
                    <xdr:row>31</xdr:row>
                    <xdr:rowOff>28575</xdr:rowOff>
                  </to>
                </anchor>
              </controlPr>
            </control>
          </mc:Choice>
        </mc:AlternateContent>
        <mc:AlternateContent xmlns:mc="http://schemas.openxmlformats.org/markup-compatibility/2006">
          <mc:Choice Requires="x14">
            <control shapeId="3123224" r:id="rId21" name="Check Box 24">
              <controlPr locked="0" defaultSize="0" autoFill="0" autoLine="0" autoPict="0">
                <anchor moveWithCells="1">
                  <from>
                    <xdr:col>4</xdr:col>
                    <xdr:colOff>66675</xdr:colOff>
                    <xdr:row>29</xdr:row>
                    <xdr:rowOff>133350</xdr:rowOff>
                  </from>
                  <to>
                    <xdr:col>5</xdr:col>
                    <xdr:colOff>0</xdr:colOff>
                    <xdr:row>31</xdr:row>
                    <xdr:rowOff>28575</xdr:rowOff>
                  </to>
                </anchor>
              </controlPr>
            </control>
          </mc:Choice>
        </mc:AlternateContent>
        <mc:AlternateContent xmlns:mc="http://schemas.openxmlformats.org/markup-compatibility/2006">
          <mc:Choice Requires="x14">
            <control shapeId="3123225" r:id="rId22" name="Check Box 25">
              <controlPr locked="0" defaultSize="0" autoFill="0" autoLine="0" autoPict="0">
                <anchor moveWithCells="1">
                  <from>
                    <xdr:col>4</xdr:col>
                    <xdr:colOff>285750</xdr:colOff>
                    <xdr:row>29</xdr:row>
                    <xdr:rowOff>133350</xdr:rowOff>
                  </from>
                  <to>
                    <xdr:col>5</xdr:col>
                    <xdr:colOff>219075</xdr:colOff>
                    <xdr:row>31</xdr:row>
                    <xdr:rowOff>28575</xdr:rowOff>
                  </to>
                </anchor>
              </controlPr>
            </control>
          </mc:Choice>
        </mc:AlternateContent>
        <mc:AlternateContent xmlns:mc="http://schemas.openxmlformats.org/markup-compatibility/2006">
          <mc:Choice Requires="x14">
            <control shapeId="3123226" r:id="rId23" name="Check Box 26">
              <controlPr locked="0" defaultSize="0" autoFill="0" autoLine="0" autoPict="0">
                <anchor moveWithCells="1">
                  <from>
                    <xdr:col>5</xdr:col>
                    <xdr:colOff>133350</xdr:colOff>
                    <xdr:row>29</xdr:row>
                    <xdr:rowOff>133350</xdr:rowOff>
                  </from>
                  <to>
                    <xdr:col>6</xdr:col>
                    <xdr:colOff>66675</xdr:colOff>
                    <xdr:row>31</xdr:row>
                    <xdr:rowOff>28575</xdr:rowOff>
                  </to>
                </anchor>
              </controlPr>
            </control>
          </mc:Choice>
        </mc:AlternateContent>
        <mc:AlternateContent xmlns:mc="http://schemas.openxmlformats.org/markup-compatibility/2006">
          <mc:Choice Requires="x14">
            <control shapeId="3123227" r:id="rId24" name="Check Box 27">
              <controlPr locked="0" defaultSize="0" autoFill="0" autoLine="0" autoPict="0">
                <anchor moveWithCells="1">
                  <from>
                    <xdr:col>5</xdr:col>
                    <xdr:colOff>333375</xdr:colOff>
                    <xdr:row>29</xdr:row>
                    <xdr:rowOff>133350</xdr:rowOff>
                  </from>
                  <to>
                    <xdr:col>6</xdr:col>
                    <xdr:colOff>266700</xdr:colOff>
                    <xdr:row>31</xdr:row>
                    <xdr:rowOff>28575</xdr:rowOff>
                  </to>
                </anchor>
              </controlPr>
            </control>
          </mc:Choice>
        </mc:AlternateContent>
        <mc:AlternateContent xmlns:mc="http://schemas.openxmlformats.org/markup-compatibility/2006">
          <mc:Choice Requires="x14">
            <control shapeId="3123228" r:id="rId25" name="Check Box 28">
              <controlPr locked="0" defaultSize="0" autoFill="0" autoLine="0" autoPict="0">
                <anchor moveWithCells="1">
                  <from>
                    <xdr:col>6</xdr:col>
                    <xdr:colOff>161925</xdr:colOff>
                    <xdr:row>29</xdr:row>
                    <xdr:rowOff>133350</xdr:rowOff>
                  </from>
                  <to>
                    <xdr:col>7</xdr:col>
                    <xdr:colOff>95250</xdr:colOff>
                    <xdr:row>31</xdr:row>
                    <xdr:rowOff>28575</xdr:rowOff>
                  </to>
                </anchor>
              </controlPr>
            </control>
          </mc:Choice>
        </mc:AlternateContent>
        <mc:AlternateContent xmlns:mc="http://schemas.openxmlformats.org/markup-compatibility/2006">
          <mc:Choice Requires="x14">
            <control shapeId="3123229" r:id="rId26" name="Check Box 29">
              <controlPr locked="0" defaultSize="0" autoFill="0" autoLine="0" autoPict="0">
                <anchor moveWithCells="1">
                  <from>
                    <xdr:col>6</xdr:col>
                    <xdr:colOff>361950</xdr:colOff>
                    <xdr:row>29</xdr:row>
                    <xdr:rowOff>133350</xdr:rowOff>
                  </from>
                  <to>
                    <xdr:col>7</xdr:col>
                    <xdr:colOff>295275</xdr:colOff>
                    <xdr:row>31</xdr:row>
                    <xdr:rowOff>28575</xdr:rowOff>
                  </to>
                </anchor>
              </controlPr>
            </control>
          </mc:Choice>
        </mc:AlternateContent>
        <mc:AlternateContent xmlns:mc="http://schemas.openxmlformats.org/markup-compatibility/2006">
          <mc:Choice Requires="x14">
            <control shapeId="3123230" r:id="rId27" name="Check Box 30">
              <controlPr locked="0" defaultSize="0" autoFill="0" autoLine="0" autoPict="0">
                <anchor moveWithCells="1">
                  <from>
                    <xdr:col>7</xdr:col>
                    <xdr:colOff>190500</xdr:colOff>
                    <xdr:row>29</xdr:row>
                    <xdr:rowOff>133350</xdr:rowOff>
                  </from>
                  <to>
                    <xdr:col>8</xdr:col>
                    <xdr:colOff>123825</xdr:colOff>
                    <xdr:row>31</xdr:row>
                    <xdr:rowOff>28575</xdr:rowOff>
                  </to>
                </anchor>
              </controlPr>
            </control>
          </mc:Choice>
        </mc:AlternateContent>
        <mc:AlternateContent xmlns:mc="http://schemas.openxmlformats.org/markup-compatibility/2006">
          <mc:Choice Requires="x14">
            <control shapeId="3123231" r:id="rId28" name="Check Box 31">
              <controlPr locked="0" defaultSize="0" autoFill="0" autoLine="0" autoPict="0">
                <anchor moveWithCells="1">
                  <from>
                    <xdr:col>8</xdr:col>
                    <xdr:colOff>9525</xdr:colOff>
                    <xdr:row>29</xdr:row>
                    <xdr:rowOff>133350</xdr:rowOff>
                  </from>
                  <to>
                    <xdr:col>8</xdr:col>
                    <xdr:colOff>314325</xdr:colOff>
                    <xdr:row>31</xdr:row>
                    <xdr:rowOff>28575</xdr:rowOff>
                  </to>
                </anchor>
              </controlPr>
            </control>
          </mc:Choice>
        </mc:AlternateContent>
        <mc:AlternateContent xmlns:mc="http://schemas.openxmlformats.org/markup-compatibility/2006">
          <mc:Choice Requires="x14">
            <control shapeId="3123232" r:id="rId29" name="Check Box 32">
              <controlPr locked="0" defaultSize="0" autoFill="0" autoLine="0" autoPict="0">
                <anchor moveWithCells="1">
                  <from>
                    <xdr:col>8</xdr:col>
                    <xdr:colOff>219075</xdr:colOff>
                    <xdr:row>29</xdr:row>
                    <xdr:rowOff>133350</xdr:rowOff>
                  </from>
                  <to>
                    <xdr:col>9</xdr:col>
                    <xdr:colOff>152400</xdr:colOff>
                    <xdr:row>31</xdr:row>
                    <xdr:rowOff>28575</xdr:rowOff>
                  </to>
                </anchor>
              </controlPr>
            </control>
          </mc:Choice>
        </mc:AlternateContent>
        <mc:AlternateContent xmlns:mc="http://schemas.openxmlformats.org/markup-compatibility/2006">
          <mc:Choice Requires="x14">
            <control shapeId="3123233" r:id="rId30" name="Check Box 33">
              <controlPr locked="0" defaultSize="0" autoFill="0" autoLine="0" autoPict="0">
                <anchor moveWithCells="1">
                  <from>
                    <xdr:col>9</xdr:col>
                    <xdr:colOff>47625</xdr:colOff>
                    <xdr:row>29</xdr:row>
                    <xdr:rowOff>133350</xdr:rowOff>
                  </from>
                  <to>
                    <xdr:col>9</xdr:col>
                    <xdr:colOff>352425</xdr:colOff>
                    <xdr:row>31</xdr:row>
                    <xdr:rowOff>28575</xdr:rowOff>
                  </to>
                </anchor>
              </controlPr>
            </control>
          </mc:Choice>
        </mc:AlternateContent>
        <mc:AlternateContent xmlns:mc="http://schemas.openxmlformats.org/markup-compatibility/2006">
          <mc:Choice Requires="x14">
            <control shapeId="3123234" r:id="rId31" name="Check Box 34">
              <controlPr locked="0" defaultSize="0" autoFill="0" autoLine="0" autoPict="0">
                <anchor moveWithCells="1">
                  <from>
                    <xdr:col>9</xdr:col>
                    <xdr:colOff>247650</xdr:colOff>
                    <xdr:row>29</xdr:row>
                    <xdr:rowOff>133350</xdr:rowOff>
                  </from>
                  <to>
                    <xdr:col>10</xdr:col>
                    <xdr:colOff>180975</xdr:colOff>
                    <xdr:row>31</xdr:row>
                    <xdr:rowOff>28575</xdr:rowOff>
                  </to>
                </anchor>
              </controlPr>
            </control>
          </mc:Choice>
        </mc:AlternateContent>
        <mc:AlternateContent xmlns:mc="http://schemas.openxmlformats.org/markup-compatibility/2006">
          <mc:Choice Requires="x14">
            <control shapeId="3123235" r:id="rId32" name="Check Box 35">
              <controlPr locked="0" defaultSize="0" autoFill="0" autoLine="0" autoPict="0">
                <anchor moveWithCells="1">
                  <from>
                    <xdr:col>10</xdr:col>
                    <xdr:colOff>85725</xdr:colOff>
                    <xdr:row>29</xdr:row>
                    <xdr:rowOff>133350</xdr:rowOff>
                  </from>
                  <to>
                    <xdr:col>11</xdr:col>
                    <xdr:colOff>19050</xdr:colOff>
                    <xdr:row>31</xdr:row>
                    <xdr:rowOff>28575</xdr:rowOff>
                  </to>
                </anchor>
              </controlPr>
            </control>
          </mc:Choice>
        </mc:AlternateContent>
        <mc:AlternateContent xmlns:mc="http://schemas.openxmlformats.org/markup-compatibility/2006">
          <mc:Choice Requires="x14">
            <control shapeId="3123236" r:id="rId33" name="Check Box 36">
              <controlPr locked="0" defaultSize="0" autoFill="0" autoLine="0" autoPict="0">
                <anchor moveWithCells="1">
                  <from>
                    <xdr:col>10</xdr:col>
                    <xdr:colOff>285750</xdr:colOff>
                    <xdr:row>29</xdr:row>
                    <xdr:rowOff>133350</xdr:rowOff>
                  </from>
                  <to>
                    <xdr:col>11</xdr:col>
                    <xdr:colOff>219075</xdr:colOff>
                    <xdr:row>31</xdr:row>
                    <xdr:rowOff>28575</xdr:rowOff>
                  </to>
                </anchor>
              </controlPr>
            </control>
          </mc:Choice>
        </mc:AlternateContent>
        <mc:AlternateContent xmlns:mc="http://schemas.openxmlformats.org/markup-compatibility/2006">
          <mc:Choice Requires="x14">
            <control shapeId="3123237" r:id="rId34" name="Check Box 37">
              <controlPr locked="0" defaultSize="0" autoFill="0" autoLine="0" autoPict="0">
                <anchor moveWithCells="1">
                  <from>
                    <xdr:col>11</xdr:col>
                    <xdr:colOff>114300</xdr:colOff>
                    <xdr:row>29</xdr:row>
                    <xdr:rowOff>133350</xdr:rowOff>
                  </from>
                  <to>
                    <xdr:col>12</xdr:col>
                    <xdr:colOff>47625</xdr:colOff>
                    <xdr:row>31</xdr:row>
                    <xdr:rowOff>28575</xdr:rowOff>
                  </to>
                </anchor>
              </controlPr>
            </control>
          </mc:Choice>
        </mc:AlternateContent>
        <mc:AlternateContent xmlns:mc="http://schemas.openxmlformats.org/markup-compatibility/2006">
          <mc:Choice Requires="x14">
            <control shapeId="3123238" r:id="rId35" name="Check Box 38">
              <controlPr locked="0" defaultSize="0" autoFill="0" autoLine="0" autoPict="0">
                <anchor moveWithCells="1">
                  <from>
                    <xdr:col>11</xdr:col>
                    <xdr:colOff>323850</xdr:colOff>
                    <xdr:row>29</xdr:row>
                    <xdr:rowOff>133350</xdr:rowOff>
                  </from>
                  <to>
                    <xdr:col>12</xdr:col>
                    <xdr:colOff>257175</xdr:colOff>
                    <xdr:row>31</xdr:row>
                    <xdr:rowOff>28575</xdr:rowOff>
                  </to>
                </anchor>
              </controlPr>
            </control>
          </mc:Choice>
        </mc:AlternateContent>
        <mc:AlternateContent xmlns:mc="http://schemas.openxmlformats.org/markup-compatibility/2006">
          <mc:Choice Requires="x14">
            <control shapeId="3123239" r:id="rId36" name="Check Box 39">
              <controlPr locked="0" defaultSize="0" autoFill="0" autoLine="0" autoPict="0">
                <anchor moveWithCells="1">
                  <from>
                    <xdr:col>12</xdr:col>
                    <xdr:colOff>152400</xdr:colOff>
                    <xdr:row>29</xdr:row>
                    <xdr:rowOff>133350</xdr:rowOff>
                  </from>
                  <to>
                    <xdr:col>13</xdr:col>
                    <xdr:colOff>85725</xdr:colOff>
                    <xdr:row>31</xdr:row>
                    <xdr:rowOff>28575</xdr:rowOff>
                  </to>
                </anchor>
              </controlPr>
            </control>
          </mc:Choice>
        </mc:AlternateContent>
        <mc:AlternateContent xmlns:mc="http://schemas.openxmlformats.org/markup-compatibility/2006">
          <mc:Choice Requires="x14">
            <control shapeId="3123240" r:id="rId37" name="Check Box 40">
              <controlPr locked="0" defaultSize="0" autoFill="0" autoLine="0" autoPict="0">
                <anchor moveWithCells="1">
                  <from>
                    <xdr:col>12</xdr:col>
                    <xdr:colOff>342900</xdr:colOff>
                    <xdr:row>29</xdr:row>
                    <xdr:rowOff>133350</xdr:rowOff>
                  </from>
                  <to>
                    <xdr:col>13</xdr:col>
                    <xdr:colOff>276225</xdr:colOff>
                    <xdr:row>31</xdr:row>
                    <xdr:rowOff>28575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dimension ref="A1:AK76"/>
  <sheetViews>
    <sheetView showGridLines="0" view="pageLayout" zoomScaleNormal="100" workbookViewId="0">
      <selection activeCell="A2" sqref="A2:N3"/>
    </sheetView>
  </sheetViews>
  <sheetFormatPr defaultColWidth="0" defaultRowHeight="12.75"/>
  <cols>
    <col min="1" max="1" width="7.5703125" style="291" customWidth="1"/>
    <col min="2" max="2" width="4.85546875" style="291" customWidth="1"/>
    <col min="3" max="12" width="6.28515625" style="291" customWidth="1"/>
    <col min="13" max="13" width="5.28515625" style="291" customWidth="1"/>
    <col min="14" max="14" width="12.42578125" style="291" bestFit="1" customWidth="1"/>
    <col min="15" max="15" width="0.7109375" style="291" customWidth="1"/>
    <col min="16" max="16384" width="9.140625" style="291" hidden="1"/>
  </cols>
  <sheetData>
    <row r="1" spans="1:37" ht="7.5" customHeight="1">
      <c r="A1" s="414"/>
      <c r="B1" s="312"/>
      <c r="C1" s="312"/>
      <c r="D1" s="312"/>
      <c r="E1" s="312"/>
      <c r="F1" s="312"/>
      <c r="G1" s="312"/>
      <c r="H1" s="312"/>
      <c r="I1" s="312"/>
      <c r="J1" s="312"/>
      <c r="K1" s="312"/>
      <c r="L1" s="312"/>
      <c r="M1" s="312"/>
      <c r="N1" s="312"/>
    </row>
    <row r="2" spans="1:37" ht="17.45" customHeight="1">
      <c r="A2" s="751" t="s">
        <v>821</v>
      </c>
      <c r="B2" s="751"/>
      <c r="C2" s="751"/>
      <c r="D2" s="751"/>
      <c r="E2" s="751"/>
      <c r="F2" s="751"/>
      <c r="G2" s="751"/>
      <c r="H2" s="751"/>
      <c r="I2" s="751"/>
      <c r="J2" s="751"/>
      <c r="K2" s="751"/>
      <c r="L2" s="751"/>
      <c r="M2" s="751"/>
      <c r="N2" s="751"/>
    </row>
    <row r="3" spans="1:37">
      <c r="A3" s="752"/>
      <c r="B3" s="752"/>
      <c r="C3" s="752"/>
      <c r="D3" s="752"/>
      <c r="E3" s="752"/>
      <c r="F3" s="752"/>
      <c r="G3" s="752"/>
      <c r="H3" s="752"/>
      <c r="I3" s="752"/>
      <c r="J3" s="752"/>
      <c r="K3" s="752"/>
      <c r="L3" s="752"/>
      <c r="M3" s="752"/>
      <c r="N3" s="752"/>
    </row>
    <row r="4" spans="1:37" s="299" customFormat="1" ht="11.25">
      <c r="A4" s="338" t="s">
        <v>310</v>
      </c>
      <c r="B4" s="374"/>
      <c r="C4" s="374"/>
      <c r="D4" s="374"/>
      <c r="E4" s="375"/>
      <c r="F4" s="338" t="s">
        <v>30</v>
      </c>
      <c r="G4" s="374"/>
      <c r="H4" s="374"/>
      <c r="I4" s="375"/>
      <c r="J4" s="338" t="s">
        <v>31</v>
      </c>
      <c r="K4" s="374"/>
      <c r="L4" s="374"/>
      <c r="M4" s="374"/>
      <c r="N4" s="375"/>
    </row>
    <row r="5" spans="1:37">
      <c r="A5" s="685">
        <f>'Header Info'!C7</f>
        <v>0</v>
      </c>
      <c r="B5" s="661"/>
      <c r="C5" s="661"/>
      <c r="D5" s="661"/>
      <c r="E5" s="686"/>
      <c r="F5" s="723"/>
      <c r="G5" s="724"/>
      <c r="H5" s="724"/>
      <c r="I5" s="725"/>
      <c r="J5" s="723"/>
      <c r="K5" s="724"/>
      <c r="L5" s="724"/>
      <c r="M5" s="724"/>
      <c r="N5" s="725"/>
    </row>
    <row r="6" spans="1:37" s="299" customFormat="1" ht="11.25">
      <c r="A6" s="338" t="s">
        <v>309</v>
      </c>
      <c r="B6" s="374"/>
      <c r="C6" s="374"/>
      <c r="D6" s="374"/>
      <c r="E6" s="375"/>
      <c r="F6" s="338" t="s">
        <v>32</v>
      </c>
      <c r="G6" s="374"/>
      <c r="H6" s="374"/>
      <c r="I6" s="375"/>
      <c r="J6" s="338" t="s">
        <v>33</v>
      </c>
      <c r="K6" s="374"/>
      <c r="L6" s="374"/>
      <c r="M6" s="374"/>
      <c r="N6" s="375"/>
    </row>
    <row r="7" spans="1:37">
      <c r="A7" s="685">
        <f>'Header Info'!C6</f>
        <v>0</v>
      </c>
      <c r="B7" s="661"/>
      <c r="C7" s="661"/>
      <c r="D7" s="661"/>
      <c r="E7" s="686"/>
      <c r="F7" s="723"/>
      <c r="G7" s="724"/>
      <c r="H7" s="724"/>
      <c r="I7" s="725"/>
      <c r="J7" s="723"/>
      <c r="K7" s="724"/>
      <c r="L7" s="724"/>
      <c r="M7" s="724"/>
      <c r="N7" s="725"/>
    </row>
    <row r="8" spans="1:37" s="299" customFormat="1" ht="11.25">
      <c r="A8" s="338" t="s">
        <v>18</v>
      </c>
      <c r="B8" s="374"/>
      <c r="C8" s="374"/>
      <c r="D8" s="477" t="s">
        <v>196</v>
      </c>
      <c r="E8" s="478" t="s">
        <v>155</v>
      </c>
      <c r="F8" s="338" t="s">
        <v>34</v>
      </c>
      <c r="G8" s="374"/>
      <c r="H8" s="374"/>
      <c r="I8" s="375"/>
      <c r="J8" s="338" t="s">
        <v>42</v>
      </c>
      <c r="K8" s="374"/>
      <c r="L8" s="374"/>
      <c r="M8" s="374"/>
      <c r="N8" s="375"/>
    </row>
    <row r="9" spans="1:37">
      <c r="A9" s="723"/>
      <c r="B9" s="724"/>
      <c r="C9" s="724"/>
      <c r="D9" s="325"/>
      <c r="E9" s="458"/>
      <c r="F9" s="723"/>
      <c r="G9" s="724"/>
      <c r="H9" s="724"/>
      <c r="I9" s="725"/>
      <c r="J9" s="723"/>
      <c r="K9" s="724"/>
      <c r="L9" s="724"/>
      <c r="M9" s="724"/>
      <c r="N9" s="725"/>
    </row>
    <row r="10" spans="1:37">
      <c r="A10" s="338" t="s">
        <v>43</v>
      </c>
      <c r="B10" s="374"/>
      <c r="C10" s="374"/>
      <c r="D10" s="374"/>
      <c r="E10" s="375"/>
      <c r="F10" s="338" t="s">
        <v>44</v>
      </c>
      <c r="G10" s="375"/>
      <c r="H10" s="338" t="s">
        <v>45</v>
      </c>
      <c r="I10" s="375"/>
      <c r="J10" s="338" t="s">
        <v>46</v>
      </c>
      <c r="K10" s="375"/>
      <c r="L10" s="338" t="s">
        <v>35</v>
      </c>
      <c r="M10" s="374"/>
      <c r="N10" s="375"/>
      <c r="P10" s="566"/>
    </row>
    <row r="11" spans="1:37">
      <c r="A11" s="723"/>
      <c r="B11" s="724"/>
      <c r="C11" s="724"/>
      <c r="D11" s="724"/>
      <c r="E11" s="725"/>
      <c r="F11" s="768" t="str">
        <f>IF(C15&lt;&gt;"",COUNT(C15:C17),"")</f>
        <v/>
      </c>
      <c r="G11" s="770"/>
      <c r="H11" s="768" t="str">
        <f>IF(C15&lt;&gt;"",COUNT(C15:L15),"")</f>
        <v/>
      </c>
      <c r="I11" s="770"/>
      <c r="J11" s="768" t="str">
        <f>IF(C15&lt;&gt;"",COUNT(C15,C20,C25),"")</f>
        <v/>
      </c>
      <c r="K11" s="770"/>
      <c r="L11" s="731"/>
      <c r="M11" s="837"/>
      <c r="N11" s="732"/>
      <c r="P11" s="566"/>
    </row>
    <row r="12" spans="1:37" ht="13.5" thickBot="1">
      <c r="D12" s="479"/>
      <c r="E12" s="479" t="str">
        <f>IF(D9&gt;E9,"ENTER LOWER TOLERANCE IN D9","")</f>
        <v/>
      </c>
      <c r="F12" s="291" t="str">
        <f>IF(C15&lt;&gt;"",IF(F11*H11*J11&lt;90,"DERIVED RESULTS MAY NOT BE STATISTICALLY SOUND",""),"")</f>
        <v/>
      </c>
      <c r="G12" s="328"/>
      <c r="I12" s="328"/>
      <c r="K12" s="328"/>
      <c r="P12" s="566"/>
    </row>
    <row r="13" spans="1:37">
      <c r="A13" s="480" t="s">
        <v>47</v>
      </c>
      <c r="B13" s="481"/>
      <c r="C13" s="567" t="s">
        <v>27</v>
      </c>
      <c r="D13" s="483"/>
      <c r="E13" s="483"/>
      <c r="F13" s="483"/>
      <c r="G13" s="483"/>
      <c r="H13" s="483"/>
      <c r="I13" s="483"/>
      <c r="J13" s="483"/>
      <c r="K13" s="483"/>
      <c r="L13" s="484"/>
      <c r="M13" s="485" t="s">
        <v>48</v>
      </c>
      <c r="N13" s="486"/>
    </row>
    <row r="14" spans="1:37" ht="15.75" customHeight="1" thickBot="1">
      <c r="A14" s="495" t="s">
        <v>50</v>
      </c>
      <c r="B14" s="496"/>
      <c r="C14" s="497">
        <v>1</v>
      </c>
      <c r="D14" s="497">
        <v>2</v>
      </c>
      <c r="E14" s="497">
        <v>3</v>
      </c>
      <c r="F14" s="497">
        <v>4</v>
      </c>
      <c r="G14" s="497">
        <v>5</v>
      </c>
      <c r="H14" s="497">
        <v>6</v>
      </c>
      <c r="I14" s="497">
        <v>7</v>
      </c>
      <c r="J14" s="497">
        <v>8</v>
      </c>
      <c r="K14" s="497">
        <v>9</v>
      </c>
      <c r="L14" s="497">
        <v>10</v>
      </c>
      <c r="M14" s="498"/>
      <c r="N14" s="499"/>
      <c r="R14" s="291" t="s">
        <v>447</v>
      </c>
      <c r="S14" s="426" t="s">
        <v>448</v>
      </c>
      <c r="T14" s="426" t="s">
        <v>449</v>
      </c>
      <c r="U14" s="568" t="s">
        <v>450</v>
      </c>
      <c r="X14" s="291" t="s">
        <v>447</v>
      </c>
      <c r="Y14" s="568" t="s">
        <v>481</v>
      </c>
    </row>
    <row r="15" spans="1:37" ht="18" customHeight="1">
      <c r="A15" s="502" t="s">
        <v>52</v>
      </c>
      <c r="B15" s="503">
        <v>1</v>
      </c>
      <c r="C15" s="504"/>
      <c r="D15" s="504"/>
      <c r="E15" s="504"/>
      <c r="F15" s="504"/>
      <c r="G15" s="504"/>
      <c r="H15" s="504"/>
      <c r="I15" s="504"/>
      <c r="J15" s="504"/>
      <c r="K15" s="504"/>
      <c r="L15" s="504"/>
      <c r="M15" s="505"/>
      <c r="N15" s="506" t="str">
        <f t="shared" ref="N15:N29" si="0">IF(C15&lt;&gt;"",AVERAGE(C15:L15),"")</f>
        <v/>
      </c>
      <c r="P15" s="291" t="s">
        <v>437</v>
      </c>
      <c r="Q15" s="566">
        <f>SUM(C15:L17)</f>
        <v>0</v>
      </c>
      <c r="R15" s="291">
        <f>Q15*Q15</f>
        <v>0</v>
      </c>
      <c r="S15" s="291" t="e">
        <f>R15/$Q$19</f>
        <v>#VALUE!</v>
      </c>
      <c r="U15" s="297"/>
      <c r="V15" s="291" t="s">
        <v>451</v>
      </c>
      <c r="W15" s="569">
        <f>SUM(C15:C17)</f>
        <v>0</v>
      </c>
      <c r="X15" s="291">
        <f>W15*W15</f>
        <v>0</v>
      </c>
      <c r="Y15" s="297" t="e">
        <f>X15/$F$11</f>
        <v>#VALUE!</v>
      </c>
      <c r="AA15" s="291" t="s">
        <v>485</v>
      </c>
      <c r="AB15" s="291" t="s">
        <v>290</v>
      </c>
      <c r="AC15" s="291" t="s">
        <v>294</v>
      </c>
      <c r="AD15" s="291" t="s">
        <v>295</v>
      </c>
      <c r="AE15" s="291" t="s">
        <v>296</v>
      </c>
      <c r="AF15" s="291" t="s">
        <v>297</v>
      </c>
      <c r="AG15" s="291" t="s">
        <v>298</v>
      </c>
      <c r="AH15" s="291" t="s">
        <v>299</v>
      </c>
      <c r="AI15" s="291" t="s">
        <v>300</v>
      </c>
      <c r="AJ15" s="291" t="s">
        <v>301</v>
      </c>
      <c r="AK15" s="291" t="s">
        <v>302</v>
      </c>
    </row>
    <row r="16" spans="1:37" ht="18" customHeight="1">
      <c r="A16" s="510">
        <v>2</v>
      </c>
      <c r="B16" s="476">
        <v>2</v>
      </c>
      <c r="C16" s="511"/>
      <c r="D16" s="511"/>
      <c r="E16" s="511"/>
      <c r="F16" s="511"/>
      <c r="G16" s="511"/>
      <c r="H16" s="511"/>
      <c r="I16" s="511"/>
      <c r="J16" s="511"/>
      <c r="K16" s="511"/>
      <c r="L16" s="511"/>
      <c r="M16" s="295"/>
      <c r="N16" s="512" t="str">
        <f t="shared" si="0"/>
        <v/>
      </c>
      <c r="P16" s="291" t="s">
        <v>438</v>
      </c>
      <c r="Q16" s="566">
        <f>SUM(C20:L22)</f>
        <v>0</v>
      </c>
      <c r="R16" s="291">
        <f>Q16*Q16</f>
        <v>0</v>
      </c>
      <c r="S16" s="291" t="e">
        <f>R16/$Q$19</f>
        <v>#VALUE!</v>
      </c>
      <c r="U16" s="297"/>
      <c r="V16" s="291" t="s">
        <v>452</v>
      </c>
      <c r="W16" s="569">
        <f>SUM(D15:D17)</f>
        <v>0</v>
      </c>
      <c r="X16" s="291">
        <f t="shared" ref="X16:X44" si="1">W16*W16</f>
        <v>0</v>
      </c>
      <c r="Y16" s="297" t="e">
        <f t="shared" ref="Y16:Y44" si="2">X16/$F$11</f>
        <v>#VALUE!</v>
      </c>
      <c r="Z16" s="291" t="s">
        <v>270</v>
      </c>
      <c r="AA16" s="291" t="s">
        <v>482</v>
      </c>
      <c r="AB16" s="291">
        <f t="shared" ref="AB16:AK18" si="3">C15*C15</f>
        <v>0</v>
      </c>
      <c r="AC16" s="291">
        <f t="shared" si="3"/>
        <v>0</v>
      </c>
      <c r="AD16" s="291">
        <f t="shared" si="3"/>
        <v>0</v>
      </c>
      <c r="AE16" s="291">
        <f t="shared" si="3"/>
        <v>0</v>
      </c>
      <c r="AF16" s="291">
        <f t="shared" si="3"/>
        <v>0</v>
      </c>
      <c r="AG16" s="291">
        <f t="shared" si="3"/>
        <v>0</v>
      </c>
      <c r="AH16" s="291">
        <f t="shared" si="3"/>
        <v>0</v>
      </c>
      <c r="AI16" s="291">
        <f t="shared" si="3"/>
        <v>0</v>
      </c>
      <c r="AJ16" s="291">
        <f t="shared" si="3"/>
        <v>0</v>
      </c>
      <c r="AK16" s="291">
        <f t="shared" si="3"/>
        <v>0</v>
      </c>
    </row>
    <row r="17" spans="1:37" ht="18" customHeight="1">
      <c r="A17" s="514">
        <f>A16+1</f>
        <v>3</v>
      </c>
      <c r="B17" s="458">
        <v>3</v>
      </c>
      <c r="C17" s="511"/>
      <c r="D17" s="511"/>
      <c r="E17" s="511"/>
      <c r="F17" s="511"/>
      <c r="G17" s="511"/>
      <c r="H17" s="511"/>
      <c r="I17" s="511"/>
      <c r="J17" s="511"/>
      <c r="K17" s="511"/>
      <c r="L17" s="511"/>
      <c r="M17" s="295"/>
      <c r="N17" s="512" t="str">
        <f t="shared" si="0"/>
        <v/>
      </c>
      <c r="P17" s="291" t="s">
        <v>439</v>
      </c>
      <c r="Q17" s="566">
        <f>SUM(C25:L27)</f>
        <v>0</v>
      </c>
      <c r="R17" s="291">
        <f>Q17*Q17</f>
        <v>0</v>
      </c>
      <c r="S17" s="291" t="e">
        <f>R17/$Q$19</f>
        <v>#VALUE!</v>
      </c>
      <c r="U17" s="297"/>
      <c r="V17" s="291" t="s">
        <v>453</v>
      </c>
      <c r="W17" s="569">
        <f>SUM(E15:E17)</f>
        <v>0</v>
      </c>
      <c r="X17" s="291">
        <f t="shared" si="1"/>
        <v>0</v>
      </c>
      <c r="Y17" s="297" t="e">
        <f t="shared" si="2"/>
        <v>#VALUE!</v>
      </c>
      <c r="AA17" s="291" t="s">
        <v>483</v>
      </c>
      <c r="AB17" s="291">
        <f t="shared" si="3"/>
        <v>0</v>
      </c>
      <c r="AC17" s="291">
        <f t="shared" si="3"/>
        <v>0</v>
      </c>
      <c r="AD17" s="291">
        <f t="shared" si="3"/>
        <v>0</v>
      </c>
      <c r="AE17" s="291">
        <f t="shared" si="3"/>
        <v>0</v>
      </c>
      <c r="AF17" s="291">
        <f t="shared" si="3"/>
        <v>0</v>
      </c>
      <c r="AG17" s="291">
        <f t="shared" si="3"/>
        <v>0</v>
      </c>
      <c r="AH17" s="291">
        <f t="shared" si="3"/>
        <v>0</v>
      </c>
      <c r="AI17" s="291">
        <f t="shared" si="3"/>
        <v>0</v>
      </c>
      <c r="AJ17" s="291">
        <f t="shared" si="3"/>
        <v>0</v>
      </c>
      <c r="AK17" s="291">
        <f t="shared" si="3"/>
        <v>0</v>
      </c>
    </row>
    <row r="18" spans="1:37" ht="18" customHeight="1">
      <c r="A18" s="514">
        <f>A17+1</f>
        <v>4</v>
      </c>
      <c r="B18" s="458" t="s">
        <v>57</v>
      </c>
      <c r="C18" s="518" t="str">
        <f t="shared" ref="C18:L18" si="4">IF(C15&lt;&gt;"",SUM(C15:C17)/COUNT(C15:C17),"")</f>
        <v/>
      </c>
      <c r="D18" s="518" t="str">
        <f t="shared" si="4"/>
        <v/>
      </c>
      <c r="E18" s="518" t="str">
        <f t="shared" si="4"/>
        <v/>
      </c>
      <c r="F18" s="518" t="str">
        <f t="shared" si="4"/>
        <v/>
      </c>
      <c r="G18" s="518" t="str">
        <f t="shared" si="4"/>
        <v/>
      </c>
      <c r="H18" s="518" t="str">
        <f t="shared" si="4"/>
        <v/>
      </c>
      <c r="I18" s="518" t="str">
        <f t="shared" si="4"/>
        <v/>
      </c>
      <c r="J18" s="518" t="str">
        <f t="shared" si="4"/>
        <v/>
      </c>
      <c r="K18" s="518" t="str">
        <f t="shared" si="4"/>
        <v/>
      </c>
      <c r="L18" s="518" t="str">
        <f t="shared" si="4"/>
        <v/>
      </c>
      <c r="M18" s="519" t="s">
        <v>58</v>
      </c>
      <c r="N18" s="512" t="str">
        <f t="shared" si="0"/>
        <v/>
      </c>
      <c r="P18" s="291" t="s">
        <v>430</v>
      </c>
      <c r="Q18" s="566">
        <f>SUM(Q15:Q17)</f>
        <v>0</v>
      </c>
      <c r="R18" s="291">
        <f>Q18*Q18</f>
        <v>0</v>
      </c>
      <c r="T18" s="291" t="e">
        <f>R18/Q20</f>
        <v>#VALUE!</v>
      </c>
      <c r="U18" s="297"/>
      <c r="V18" s="291" t="s">
        <v>454</v>
      </c>
      <c r="W18" s="569">
        <f>SUM(F15:F17)</f>
        <v>0</v>
      </c>
      <c r="X18" s="291">
        <f t="shared" si="1"/>
        <v>0</v>
      </c>
      <c r="Y18" s="297" t="e">
        <f t="shared" si="2"/>
        <v>#VALUE!</v>
      </c>
      <c r="AA18" s="291" t="s">
        <v>484</v>
      </c>
      <c r="AB18" s="291">
        <f t="shared" si="3"/>
        <v>0</v>
      </c>
      <c r="AC18" s="291">
        <f t="shared" si="3"/>
        <v>0</v>
      </c>
      <c r="AD18" s="291">
        <f t="shared" si="3"/>
        <v>0</v>
      </c>
      <c r="AE18" s="291">
        <f t="shared" si="3"/>
        <v>0</v>
      </c>
      <c r="AF18" s="291">
        <f t="shared" si="3"/>
        <v>0</v>
      </c>
      <c r="AG18" s="291">
        <f t="shared" si="3"/>
        <v>0</v>
      </c>
      <c r="AH18" s="291">
        <f t="shared" si="3"/>
        <v>0</v>
      </c>
      <c r="AI18" s="291">
        <f t="shared" si="3"/>
        <v>0</v>
      </c>
      <c r="AJ18" s="291">
        <f t="shared" si="3"/>
        <v>0</v>
      </c>
      <c r="AK18" s="291">
        <f t="shared" si="3"/>
        <v>0</v>
      </c>
    </row>
    <row r="19" spans="1:37" ht="18" customHeight="1" thickBot="1">
      <c r="A19" s="520">
        <f>A18+1</f>
        <v>5</v>
      </c>
      <c r="B19" s="521" t="s">
        <v>19</v>
      </c>
      <c r="C19" s="522" t="str">
        <f t="shared" ref="C19:L19" si="5">IF(C15&lt;&gt;"",MAX(C15:C17)-MIN(C15:C17),"")</f>
        <v/>
      </c>
      <c r="D19" s="522" t="str">
        <f t="shared" si="5"/>
        <v/>
      </c>
      <c r="E19" s="522" t="str">
        <f t="shared" si="5"/>
        <v/>
      </c>
      <c r="F19" s="522" t="str">
        <f t="shared" si="5"/>
        <v/>
      </c>
      <c r="G19" s="522" t="str">
        <f t="shared" si="5"/>
        <v/>
      </c>
      <c r="H19" s="522" t="str">
        <f t="shared" si="5"/>
        <v/>
      </c>
      <c r="I19" s="522" t="str">
        <f t="shared" si="5"/>
        <v/>
      </c>
      <c r="J19" s="522" t="str">
        <f t="shared" si="5"/>
        <v/>
      </c>
      <c r="K19" s="522" t="str">
        <f t="shared" si="5"/>
        <v/>
      </c>
      <c r="L19" s="522" t="str">
        <f t="shared" si="5"/>
        <v/>
      </c>
      <c r="M19" s="523" t="s">
        <v>60</v>
      </c>
      <c r="N19" s="512" t="str">
        <f t="shared" si="0"/>
        <v/>
      </c>
      <c r="P19" s="291" t="s">
        <v>436</v>
      </c>
      <c r="Q19" s="291" t="e">
        <f>J11*H11</f>
        <v>#VALUE!</v>
      </c>
      <c r="U19" s="297"/>
      <c r="V19" s="291" t="s">
        <v>455</v>
      </c>
      <c r="W19" s="569">
        <f>SUM(G15:G17)</f>
        <v>0</v>
      </c>
      <c r="X19" s="291">
        <f t="shared" si="1"/>
        <v>0</v>
      </c>
      <c r="Y19" s="297" t="e">
        <f t="shared" si="2"/>
        <v>#VALUE!</v>
      </c>
      <c r="Z19" s="291" t="s">
        <v>274</v>
      </c>
      <c r="AA19" s="291" t="s">
        <v>482</v>
      </c>
      <c r="AB19" s="291">
        <f t="shared" ref="AB19:AK21" si="6">C20*C20</f>
        <v>0</v>
      </c>
      <c r="AC19" s="291">
        <f t="shared" si="6"/>
        <v>0</v>
      </c>
      <c r="AD19" s="291">
        <f t="shared" si="6"/>
        <v>0</v>
      </c>
      <c r="AE19" s="291">
        <f t="shared" si="6"/>
        <v>0</v>
      </c>
      <c r="AF19" s="291">
        <f t="shared" si="6"/>
        <v>0</v>
      </c>
      <c r="AG19" s="291">
        <f t="shared" si="6"/>
        <v>0</v>
      </c>
      <c r="AH19" s="291">
        <f t="shared" si="6"/>
        <v>0</v>
      </c>
      <c r="AI19" s="291">
        <f t="shared" si="6"/>
        <v>0</v>
      </c>
      <c r="AJ19" s="291">
        <f t="shared" si="6"/>
        <v>0</v>
      </c>
      <c r="AK19" s="291">
        <f t="shared" si="6"/>
        <v>0</v>
      </c>
    </row>
    <row r="20" spans="1:37" ht="18" customHeight="1">
      <c r="A20" s="502" t="s">
        <v>64</v>
      </c>
      <c r="B20" s="503">
        <v>1</v>
      </c>
      <c r="C20" s="504"/>
      <c r="D20" s="504"/>
      <c r="E20" s="504"/>
      <c r="F20" s="504"/>
      <c r="G20" s="504"/>
      <c r="H20" s="504"/>
      <c r="I20" s="504"/>
      <c r="J20" s="504"/>
      <c r="K20" s="504"/>
      <c r="L20" s="504"/>
      <c r="M20" s="505"/>
      <c r="N20" s="506" t="str">
        <f t="shared" si="0"/>
        <v/>
      </c>
      <c r="P20" s="291" t="s">
        <v>435</v>
      </c>
      <c r="Q20" s="291" t="e">
        <f>F11*H11*J11</f>
        <v>#VALUE!</v>
      </c>
      <c r="U20" s="297"/>
      <c r="V20" s="291" t="s">
        <v>456</v>
      </c>
      <c r="W20" s="569">
        <f>SUM(H15:H17)</f>
        <v>0</v>
      </c>
      <c r="X20" s="291">
        <f t="shared" si="1"/>
        <v>0</v>
      </c>
      <c r="Y20" s="297" t="e">
        <f t="shared" si="2"/>
        <v>#VALUE!</v>
      </c>
      <c r="AA20" s="291" t="s">
        <v>483</v>
      </c>
      <c r="AB20" s="291">
        <f t="shared" si="6"/>
        <v>0</v>
      </c>
      <c r="AC20" s="291">
        <f t="shared" si="6"/>
        <v>0</v>
      </c>
      <c r="AD20" s="291">
        <f t="shared" si="6"/>
        <v>0</v>
      </c>
      <c r="AE20" s="291">
        <f t="shared" si="6"/>
        <v>0</v>
      </c>
      <c r="AF20" s="291">
        <f t="shared" si="6"/>
        <v>0</v>
      </c>
      <c r="AG20" s="291">
        <f t="shared" si="6"/>
        <v>0</v>
      </c>
      <c r="AH20" s="291">
        <f t="shared" si="6"/>
        <v>0</v>
      </c>
      <c r="AI20" s="291">
        <f t="shared" si="6"/>
        <v>0</v>
      </c>
      <c r="AJ20" s="291">
        <f t="shared" si="6"/>
        <v>0</v>
      </c>
      <c r="AK20" s="291">
        <f t="shared" si="6"/>
        <v>0</v>
      </c>
    </row>
    <row r="21" spans="1:37" ht="18" customHeight="1">
      <c r="A21" s="514">
        <v>7</v>
      </c>
      <c r="B21" s="476">
        <v>2</v>
      </c>
      <c r="C21" s="511"/>
      <c r="D21" s="511"/>
      <c r="E21" s="511"/>
      <c r="F21" s="511"/>
      <c r="G21" s="511"/>
      <c r="H21" s="511"/>
      <c r="I21" s="511"/>
      <c r="J21" s="511"/>
      <c r="K21" s="511"/>
      <c r="L21" s="511"/>
      <c r="M21" s="295"/>
      <c r="N21" s="512" t="str">
        <f t="shared" si="0"/>
        <v/>
      </c>
      <c r="P21" s="291" t="s">
        <v>434</v>
      </c>
      <c r="Q21" s="291" t="e">
        <f>F11*J11</f>
        <v>#VALUE!</v>
      </c>
      <c r="U21" s="297"/>
      <c r="V21" s="291" t="s">
        <v>457</v>
      </c>
      <c r="W21" s="569">
        <f>SUM(I15:I17)</f>
        <v>0</v>
      </c>
      <c r="X21" s="291">
        <f t="shared" si="1"/>
        <v>0</v>
      </c>
      <c r="Y21" s="297" t="e">
        <f t="shared" si="2"/>
        <v>#VALUE!</v>
      </c>
      <c r="AA21" s="291" t="s">
        <v>484</v>
      </c>
      <c r="AB21" s="291">
        <f t="shared" si="6"/>
        <v>0</v>
      </c>
      <c r="AC21" s="291">
        <f t="shared" si="6"/>
        <v>0</v>
      </c>
      <c r="AD21" s="291">
        <f t="shared" si="6"/>
        <v>0</v>
      </c>
      <c r="AE21" s="291">
        <f t="shared" si="6"/>
        <v>0</v>
      </c>
      <c r="AF21" s="291">
        <f t="shared" si="6"/>
        <v>0</v>
      </c>
      <c r="AG21" s="291">
        <f t="shared" si="6"/>
        <v>0</v>
      </c>
      <c r="AH21" s="291">
        <f t="shared" si="6"/>
        <v>0</v>
      </c>
      <c r="AI21" s="291">
        <f t="shared" si="6"/>
        <v>0</v>
      </c>
      <c r="AJ21" s="291">
        <f t="shared" si="6"/>
        <v>0</v>
      </c>
      <c r="AK21" s="291">
        <f t="shared" si="6"/>
        <v>0</v>
      </c>
    </row>
    <row r="22" spans="1:37" ht="18" customHeight="1">
      <c r="A22" s="514">
        <f>A21+1</f>
        <v>8</v>
      </c>
      <c r="B22" s="458">
        <v>3</v>
      </c>
      <c r="C22" s="511"/>
      <c r="D22" s="511"/>
      <c r="E22" s="511"/>
      <c r="F22" s="511"/>
      <c r="G22" s="511"/>
      <c r="H22" s="511"/>
      <c r="I22" s="511"/>
      <c r="J22" s="511"/>
      <c r="K22" s="511"/>
      <c r="L22" s="511"/>
      <c r="M22" s="295"/>
      <c r="N22" s="512" t="str">
        <f t="shared" si="0"/>
        <v/>
      </c>
      <c r="P22" s="291" t="s">
        <v>431</v>
      </c>
      <c r="Q22" s="569">
        <f>SUM(C15:C17)+SUM(C20:C22)+SUM(C25:C27)</f>
        <v>0</v>
      </c>
      <c r="R22" s="291">
        <f t="shared" ref="R22:R31" si="7">Q22*Q22</f>
        <v>0</v>
      </c>
      <c r="U22" s="297" t="e">
        <f>R22/$Q$21</f>
        <v>#VALUE!</v>
      </c>
      <c r="V22" s="291" t="s">
        <v>458</v>
      </c>
      <c r="W22" s="569">
        <f>SUM(J15:J17)</f>
        <v>0</v>
      </c>
      <c r="X22" s="291">
        <f t="shared" si="1"/>
        <v>0</v>
      </c>
      <c r="Y22" s="297" t="e">
        <f t="shared" si="2"/>
        <v>#VALUE!</v>
      </c>
      <c r="Z22" s="291" t="s">
        <v>272</v>
      </c>
      <c r="AA22" s="291" t="s">
        <v>482</v>
      </c>
      <c r="AB22" s="291">
        <f t="shared" ref="AB22:AK24" si="8">C25*C25</f>
        <v>0</v>
      </c>
      <c r="AC22" s="291">
        <f t="shared" si="8"/>
        <v>0</v>
      </c>
      <c r="AD22" s="291">
        <f t="shared" si="8"/>
        <v>0</v>
      </c>
      <c r="AE22" s="291">
        <f t="shared" si="8"/>
        <v>0</v>
      </c>
      <c r="AF22" s="291">
        <f t="shared" si="8"/>
        <v>0</v>
      </c>
      <c r="AG22" s="291">
        <f t="shared" si="8"/>
        <v>0</v>
      </c>
      <c r="AH22" s="291">
        <f t="shared" si="8"/>
        <v>0</v>
      </c>
      <c r="AI22" s="291">
        <f t="shared" si="8"/>
        <v>0</v>
      </c>
      <c r="AJ22" s="291">
        <f t="shared" si="8"/>
        <v>0</v>
      </c>
      <c r="AK22" s="291">
        <f t="shared" si="8"/>
        <v>0</v>
      </c>
    </row>
    <row r="23" spans="1:37" ht="18" customHeight="1">
      <c r="A23" s="514">
        <f>A22+1</f>
        <v>9</v>
      </c>
      <c r="B23" s="458" t="s">
        <v>57</v>
      </c>
      <c r="C23" s="518" t="str">
        <f t="shared" ref="C23:L23" si="9">IF(C20&lt;&gt;"",SUM(C20:C22)/COUNT(C20:C22),"")</f>
        <v/>
      </c>
      <c r="D23" s="518" t="str">
        <f t="shared" si="9"/>
        <v/>
      </c>
      <c r="E23" s="518" t="str">
        <f t="shared" si="9"/>
        <v/>
      </c>
      <c r="F23" s="518" t="str">
        <f t="shared" si="9"/>
        <v/>
      </c>
      <c r="G23" s="518" t="str">
        <f t="shared" si="9"/>
        <v/>
      </c>
      <c r="H23" s="518" t="str">
        <f t="shared" si="9"/>
        <v/>
      </c>
      <c r="I23" s="518" t="str">
        <f t="shared" si="9"/>
        <v/>
      </c>
      <c r="J23" s="518" t="str">
        <f t="shared" si="9"/>
        <v/>
      </c>
      <c r="K23" s="518" t="str">
        <f t="shared" si="9"/>
        <v/>
      </c>
      <c r="L23" s="518" t="str">
        <f t="shared" si="9"/>
        <v/>
      </c>
      <c r="M23" s="519" t="s">
        <v>65</v>
      </c>
      <c r="N23" s="512" t="str">
        <f t="shared" si="0"/>
        <v/>
      </c>
      <c r="P23" s="291" t="s">
        <v>432</v>
      </c>
      <c r="Q23" s="569">
        <f>SUM(D15:D17)+SUM(D20:D22)+SUM(D25:D27)</f>
        <v>0</v>
      </c>
      <c r="R23" s="291">
        <f t="shared" si="7"/>
        <v>0</v>
      </c>
      <c r="U23" s="297" t="e">
        <f t="shared" ref="U23:U31" si="10">R23/$Q$21</f>
        <v>#VALUE!</v>
      </c>
      <c r="V23" s="291" t="s">
        <v>459</v>
      </c>
      <c r="W23" s="569">
        <f>SUM(K15:K17)</f>
        <v>0</v>
      </c>
      <c r="X23" s="291">
        <f t="shared" si="1"/>
        <v>0</v>
      </c>
      <c r="Y23" s="297" t="e">
        <f t="shared" si="2"/>
        <v>#VALUE!</v>
      </c>
      <c r="AA23" s="291" t="s">
        <v>483</v>
      </c>
      <c r="AB23" s="291">
        <f t="shared" si="8"/>
        <v>0</v>
      </c>
      <c r="AC23" s="291">
        <f t="shared" si="8"/>
        <v>0</v>
      </c>
      <c r="AD23" s="291">
        <f t="shared" si="8"/>
        <v>0</v>
      </c>
      <c r="AE23" s="291">
        <f t="shared" si="8"/>
        <v>0</v>
      </c>
      <c r="AF23" s="291">
        <f t="shared" si="8"/>
        <v>0</v>
      </c>
      <c r="AG23" s="291">
        <f t="shared" si="8"/>
        <v>0</v>
      </c>
      <c r="AH23" s="291">
        <f t="shared" si="8"/>
        <v>0</v>
      </c>
      <c r="AI23" s="291">
        <f t="shared" si="8"/>
        <v>0</v>
      </c>
      <c r="AJ23" s="291">
        <f t="shared" si="8"/>
        <v>0</v>
      </c>
      <c r="AK23" s="291">
        <f t="shared" si="8"/>
        <v>0</v>
      </c>
    </row>
    <row r="24" spans="1:37" ht="18" customHeight="1" thickBot="1">
      <c r="A24" s="520">
        <f>A23+1</f>
        <v>10</v>
      </c>
      <c r="B24" s="521" t="s">
        <v>19</v>
      </c>
      <c r="C24" s="522" t="str">
        <f t="shared" ref="C24:L24" si="11">IF(C20&lt;&gt;"",MAX(C20:C22)-MIN(C20:C22),"")</f>
        <v/>
      </c>
      <c r="D24" s="522" t="str">
        <f t="shared" si="11"/>
        <v/>
      </c>
      <c r="E24" s="522" t="str">
        <f t="shared" si="11"/>
        <v/>
      </c>
      <c r="F24" s="522" t="str">
        <f t="shared" si="11"/>
        <v/>
      </c>
      <c r="G24" s="522" t="str">
        <f t="shared" si="11"/>
        <v/>
      </c>
      <c r="H24" s="522" t="str">
        <f t="shared" si="11"/>
        <v/>
      </c>
      <c r="I24" s="522" t="str">
        <f t="shared" si="11"/>
        <v/>
      </c>
      <c r="J24" s="522" t="str">
        <f t="shared" si="11"/>
        <v/>
      </c>
      <c r="K24" s="522" t="str">
        <f t="shared" si="11"/>
        <v/>
      </c>
      <c r="L24" s="522" t="str">
        <f t="shared" si="11"/>
        <v/>
      </c>
      <c r="M24" s="523" t="s">
        <v>66</v>
      </c>
      <c r="N24" s="512" t="str">
        <f t="shared" si="0"/>
        <v/>
      </c>
      <c r="P24" s="291" t="s">
        <v>433</v>
      </c>
      <c r="Q24" s="569">
        <f>SUM(E15:E17)+SUM(E20:E22)+SUM(E25:E27)</f>
        <v>0</v>
      </c>
      <c r="R24" s="291">
        <f t="shared" si="7"/>
        <v>0</v>
      </c>
      <c r="U24" s="297" t="e">
        <f t="shared" si="10"/>
        <v>#VALUE!</v>
      </c>
      <c r="V24" s="291" t="s">
        <v>460</v>
      </c>
      <c r="W24" s="569">
        <f>SUM(L15:L17)</f>
        <v>0</v>
      </c>
      <c r="X24" s="291">
        <f t="shared" si="1"/>
        <v>0</v>
      </c>
      <c r="Y24" s="297" t="e">
        <f t="shared" si="2"/>
        <v>#VALUE!</v>
      </c>
      <c r="AA24" s="291" t="s">
        <v>484</v>
      </c>
      <c r="AB24" s="291">
        <f t="shared" si="8"/>
        <v>0</v>
      </c>
      <c r="AC24" s="291">
        <f t="shared" si="8"/>
        <v>0</v>
      </c>
      <c r="AD24" s="291">
        <f t="shared" si="8"/>
        <v>0</v>
      </c>
      <c r="AE24" s="291">
        <f t="shared" si="8"/>
        <v>0</v>
      </c>
      <c r="AF24" s="291">
        <f t="shared" si="8"/>
        <v>0</v>
      </c>
      <c r="AG24" s="291">
        <f t="shared" si="8"/>
        <v>0</v>
      </c>
      <c r="AH24" s="291">
        <f t="shared" si="8"/>
        <v>0</v>
      </c>
      <c r="AI24" s="291">
        <f t="shared" si="8"/>
        <v>0</v>
      </c>
      <c r="AJ24" s="291">
        <f t="shared" si="8"/>
        <v>0</v>
      </c>
      <c r="AK24" s="291">
        <f>L27*L27</f>
        <v>0</v>
      </c>
    </row>
    <row r="25" spans="1:37" ht="18" customHeight="1">
      <c r="A25" s="502" t="s">
        <v>69</v>
      </c>
      <c r="B25" s="503">
        <v>1</v>
      </c>
      <c r="C25" s="504"/>
      <c r="D25" s="504"/>
      <c r="E25" s="504"/>
      <c r="F25" s="504"/>
      <c r="G25" s="504"/>
      <c r="H25" s="504"/>
      <c r="I25" s="504"/>
      <c r="J25" s="504"/>
      <c r="K25" s="504"/>
      <c r="L25" s="504"/>
      <c r="M25" s="505"/>
      <c r="N25" s="506" t="str">
        <f t="shared" si="0"/>
        <v/>
      </c>
      <c r="P25" s="291" t="s">
        <v>440</v>
      </c>
      <c r="Q25" s="569">
        <f>SUM(F15:F17)+SUM(F20:F22)+SUM(F25:F27)</f>
        <v>0</v>
      </c>
      <c r="R25" s="291">
        <f t="shared" si="7"/>
        <v>0</v>
      </c>
      <c r="U25" s="297" t="e">
        <f t="shared" si="10"/>
        <v>#VALUE!</v>
      </c>
      <c r="V25" s="291" t="s">
        <v>461</v>
      </c>
      <c r="W25" s="569">
        <f>SUM(C20:C22)</f>
        <v>0</v>
      </c>
      <c r="X25" s="291">
        <f t="shared" si="1"/>
        <v>0</v>
      </c>
      <c r="Y25" s="297" t="e">
        <f t="shared" si="2"/>
        <v>#VALUE!</v>
      </c>
    </row>
    <row r="26" spans="1:37" ht="18" customHeight="1">
      <c r="A26" s="514">
        <v>12</v>
      </c>
      <c r="B26" s="476">
        <v>2</v>
      </c>
      <c r="C26" s="511"/>
      <c r="D26" s="511"/>
      <c r="E26" s="511"/>
      <c r="F26" s="511"/>
      <c r="G26" s="511"/>
      <c r="H26" s="511"/>
      <c r="I26" s="511"/>
      <c r="J26" s="511"/>
      <c r="K26" s="511"/>
      <c r="L26" s="511"/>
      <c r="M26" s="295"/>
      <c r="N26" s="512" t="str">
        <f t="shared" si="0"/>
        <v/>
      </c>
      <c r="P26" s="291" t="s">
        <v>441</v>
      </c>
      <c r="Q26" s="569">
        <f>SUM(G15:G17)+SUM(G20:G22)+SUM(G25:G27)</f>
        <v>0</v>
      </c>
      <c r="R26" s="291">
        <f t="shared" si="7"/>
        <v>0</v>
      </c>
      <c r="U26" s="297" t="e">
        <f t="shared" si="10"/>
        <v>#VALUE!</v>
      </c>
      <c r="V26" s="291" t="s">
        <v>462</v>
      </c>
      <c r="W26" s="569">
        <f>SUM(D20:D22)</f>
        <v>0</v>
      </c>
      <c r="X26" s="291">
        <f t="shared" si="1"/>
        <v>0</v>
      </c>
      <c r="Y26" s="297" t="e">
        <f t="shared" si="2"/>
        <v>#VALUE!</v>
      </c>
    </row>
    <row r="27" spans="1:37" ht="18" customHeight="1">
      <c r="A27" s="514">
        <f>A26+1</f>
        <v>13</v>
      </c>
      <c r="B27" s="458">
        <v>3</v>
      </c>
      <c r="C27" s="511"/>
      <c r="D27" s="511"/>
      <c r="E27" s="511"/>
      <c r="F27" s="511"/>
      <c r="G27" s="511"/>
      <c r="H27" s="511"/>
      <c r="I27" s="511"/>
      <c r="J27" s="511"/>
      <c r="K27" s="511"/>
      <c r="L27" s="511"/>
      <c r="M27" s="295"/>
      <c r="N27" s="512" t="str">
        <f t="shared" si="0"/>
        <v/>
      </c>
      <c r="P27" s="291" t="s">
        <v>442</v>
      </c>
      <c r="Q27" s="569">
        <f>SUM(H15:H17)+SUM(H20:H22)+SUM(H25:H27)</f>
        <v>0</v>
      </c>
      <c r="R27" s="291">
        <f t="shared" si="7"/>
        <v>0</v>
      </c>
      <c r="U27" s="297" t="e">
        <f t="shared" si="10"/>
        <v>#VALUE!</v>
      </c>
      <c r="V27" s="291" t="s">
        <v>463</v>
      </c>
      <c r="W27" s="569">
        <f>SUM(E20:E22)</f>
        <v>0</v>
      </c>
      <c r="X27" s="291">
        <f t="shared" si="1"/>
        <v>0</v>
      </c>
      <c r="Y27" s="297" t="e">
        <f t="shared" si="2"/>
        <v>#VALUE!</v>
      </c>
    </row>
    <row r="28" spans="1:37" ht="18" customHeight="1">
      <c r="A28" s="514">
        <f>A27+1</f>
        <v>14</v>
      </c>
      <c r="B28" s="458" t="s">
        <v>57</v>
      </c>
      <c r="C28" s="518" t="str">
        <f t="shared" ref="C28:L28" si="12">IF(C25&lt;&gt;"",SUM(C25:C27)/COUNT(C25:C27),"")</f>
        <v/>
      </c>
      <c r="D28" s="518" t="str">
        <f t="shared" si="12"/>
        <v/>
      </c>
      <c r="E28" s="518" t="str">
        <f t="shared" si="12"/>
        <v/>
      </c>
      <c r="F28" s="518" t="str">
        <f t="shared" si="12"/>
        <v/>
      </c>
      <c r="G28" s="518" t="str">
        <f t="shared" si="12"/>
        <v/>
      </c>
      <c r="H28" s="518" t="str">
        <f t="shared" si="12"/>
        <v/>
      </c>
      <c r="I28" s="518" t="str">
        <f t="shared" si="12"/>
        <v/>
      </c>
      <c r="J28" s="518" t="str">
        <f t="shared" si="12"/>
        <v/>
      </c>
      <c r="K28" s="518" t="str">
        <f t="shared" si="12"/>
        <v/>
      </c>
      <c r="L28" s="518" t="str">
        <f t="shared" si="12"/>
        <v/>
      </c>
      <c r="M28" s="519" t="s">
        <v>71</v>
      </c>
      <c r="N28" s="512" t="str">
        <f t="shared" si="0"/>
        <v/>
      </c>
      <c r="P28" s="291" t="s">
        <v>443</v>
      </c>
      <c r="Q28" s="569">
        <f>SUM(I15:I17)+SUM(I20:I22)+SUM(I25:I27)</f>
        <v>0</v>
      </c>
      <c r="R28" s="291">
        <f t="shared" si="7"/>
        <v>0</v>
      </c>
      <c r="U28" s="297" t="e">
        <f t="shared" si="10"/>
        <v>#VALUE!</v>
      </c>
      <c r="V28" s="291" t="s">
        <v>464</v>
      </c>
      <c r="W28" s="569">
        <f>SUM(F20:F22)</f>
        <v>0</v>
      </c>
      <c r="X28" s="291">
        <f t="shared" si="1"/>
        <v>0</v>
      </c>
      <c r="Y28" s="297" t="e">
        <f t="shared" si="2"/>
        <v>#VALUE!</v>
      </c>
    </row>
    <row r="29" spans="1:37" ht="18" customHeight="1" thickBot="1">
      <c r="A29" s="520">
        <f>A28+1</f>
        <v>15</v>
      </c>
      <c r="B29" s="521" t="s">
        <v>19</v>
      </c>
      <c r="C29" s="522" t="str">
        <f t="shared" ref="C29:L29" si="13">IF(C25&lt;&gt;"",MAX(C25:C27)-MIN(C25:C27),"")</f>
        <v/>
      </c>
      <c r="D29" s="522" t="str">
        <f t="shared" si="13"/>
        <v/>
      </c>
      <c r="E29" s="522" t="str">
        <f t="shared" si="13"/>
        <v/>
      </c>
      <c r="F29" s="522" t="str">
        <f t="shared" si="13"/>
        <v/>
      </c>
      <c r="G29" s="522" t="str">
        <f t="shared" si="13"/>
        <v/>
      </c>
      <c r="H29" s="522" t="str">
        <f t="shared" si="13"/>
        <v/>
      </c>
      <c r="I29" s="522" t="str">
        <f t="shared" si="13"/>
        <v/>
      </c>
      <c r="J29" s="522" t="str">
        <f t="shared" si="13"/>
        <v/>
      </c>
      <c r="K29" s="522" t="str">
        <f t="shared" si="13"/>
        <v/>
      </c>
      <c r="L29" s="522" t="str">
        <f t="shared" si="13"/>
        <v/>
      </c>
      <c r="M29" s="523" t="s">
        <v>818</v>
      </c>
      <c r="N29" s="512" t="str">
        <f t="shared" si="0"/>
        <v/>
      </c>
      <c r="P29" s="291" t="s">
        <v>444</v>
      </c>
      <c r="Q29" s="569">
        <f>SUM(J15:J17)+SUM(J20:J22)+SUM(J25:J27)</f>
        <v>0</v>
      </c>
      <c r="R29" s="291">
        <f t="shared" si="7"/>
        <v>0</v>
      </c>
      <c r="U29" s="297" t="e">
        <f t="shared" si="10"/>
        <v>#VALUE!</v>
      </c>
      <c r="V29" s="291" t="s">
        <v>465</v>
      </c>
      <c r="W29" s="569">
        <f>SUM(G20:G22)</f>
        <v>0</v>
      </c>
      <c r="X29" s="291">
        <f t="shared" si="1"/>
        <v>0</v>
      </c>
      <c r="Y29" s="297" t="e">
        <f t="shared" si="2"/>
        <v>#VALUE!</v>
      </c>
    </row>
    <row r="30" spans="1:37" ht="18" customHeight="1">
      <c r="A30" s="531" t="s">
        <v>75</v>
      </c>
      <c r="B30" s="481"/>
      <c r="C30" s="532"/>
      <c r="D30" s="532"/>
      <c r="E30" s="532"/>
      <c r="F30" s="532"/>
      <c r="G30" s="532"/>
      <c r="H30" s="532"/>
      <c r="I30" s="532"/>
      <c r="J30" s="532"/>
      <c r="K30" s="532"/>
      <c r="L30" s="532"/>
      <c r="M30" s="533" t="s">
        <v>76</v>
      </c>
      <c r="N30" s="534" t="str">
        <f>IF(C15&lt;&gt;"",AVERAGE(C31:L31),"")</f>
        <v/>
      </c>
      <c r="P30" s="291" t="s">
        <v>445</v>
      </c>
      <c r="Q30" s="569">
        <f>SUM(K15:K17)+SUM(K20:K22)+SUM(K25:K27)</f>
        <v>0</v>
      </c>
      <c r="R30" s="291">
        <f t="shared" si="7"/>
        <v>0</v>
      </c>
      <c r="U30" s="297" t="e">
        <f t="shared" si="10"/>
        <v>#VALUE!</v>
      </c>
      <c r="V30" s="291" t="s">
        <v>466</v>
      </c>
      <c r="W30" s="569">
        <f>SUM(H20:H22)</f>
        <v>0</v>
      </c>
      <c r="X30" s="291">
        <f t="shared" si="1"/>
        <v>0</v>
      </c>
      <c r="Y30" s="297" t="e">
        <f t="shared" si="2"/>
        <v>#VALUE!</v>
      </c>
    </row>
    <row r="31" spans="1:37" ht="18" customHeight="1" thickBot="1">
      <c r="A31" s="535" t="s">
        <v>87</v>
      </c>
      <c r="B31" s="496"/>
      <c r="C31" s="536" t="str">
        <f>IF(C18&lt;&gt;"",SUM(C18,C23,C28)/COUNT(C18,C23,C28),"")</f>
        <v/>
      </c>
      <c r="D31" s="536" t="str">
        <f t="shared" ref="D31:L31" si="14">IF(D18&lt;&gt;"",SUM(D18,D23,D28)/COUNT(D18,D23,D28),"")</f>
        <v/>
      </c>
      <c r="E31" s="536" t="str">
        <f t="shared" si="14"/>
        <v/>
      </c>
      <c r="F31" s="536" t="str">
        <f t="shared" si="14"/>
        <v/>
      </c>
      <c r="G31" s="536" t="str">
        <f t="shared" si="14"/>
        <v/>
      </c>
      <c r="H31" s="536" t="str">
        <f t="shared" si="14"/>
        <v/>
      </c>
      <c r="I31" s="536" t="str">
        <f t="shared" si="14"/>
        <v/>
      </c>
      <c r="J31" s="536" t="str">
        <f t="shared" si="14"/>
        <v/>
      </c>
      <c r="K31" s="536" t="str">
        <f t="shared" si="14"/>
        <v/>
      </c>
      <c r="L31" s="536" t="str">
        <f t="shared" si="14"/>
        <v/>
      </c>
      <c r="M31" s="537" t="s">
        <v>99</v>
      </c>
      <c r="N31" s="538" t="str">
        <f>IF(C15&lt;&gt;"",MAX(C31:L31)-MIN(C31:L31),"")</f>
        <v/>
      </c>
      <c r="P31" s="291" t="s">
        <v>446</v>
      </c>
      <c r="Q31" s="569">
        <f>SUM(L15:L17)+SUM(L20:L22)+SUM(L25:L27)</f>
        <v>0</v>
      </c>
      <c r="R31" s="291">
        <f t="shared" si="7"/>
        <v>0</v>
      </c>
      <c r="U31" s="297" t="e">
        <f t="shared" si="10"/>
        <v>#VALUE!</v>
      </c>
      <c r="V31" s="291" t="s">
        <v>467</v>
      </c>
      <c r="W31" s="569">
        <f>SUM(I20:I22)</f>
        <v>0</v>
      </c>
      <c r="X31" s="291">
        <f t="shared" si="1"/>
        <v>0</v>
      </c>
      <c r="Y31" s="297" t="e">
        <f t="shared" si="2"/>
        <v>#VALUE!</v>
      </c>
    </row>
    <row r="32" spans="1:37" ht="15.75">
      <c r="V32" s="291" t="s">
        <v>468</v>
      </c>
      <c r="W32" s="569">
        <f>SUM(J20:J22)</f>
        <v>0</v>
      </c>
      <c r="X32" s="291">
        <f t="shared" si="1"/>
        <v>0</v>
      </c>
      <c r="Y32" s="297" t="e">
        <f t="shared" si="2"/>
        <v>#VALUE!</v>
      </c>
    </row>
    <row r="33" spans="2:25" ht="15.75">
      <c r="V33" s="291" t="s">
        <v>469</v>
      </c>
      <c r="W33" s="569">
        <f>SUM(K20:K22)</f>
        <v>0</v>
      </c>
      <c r="X33" s="291">
        <f t="shared" si="1"/>
        <v>0</v>
      </c>
      <c r="Y33" s="297" t="e">
        <f t="shared" si="2"/>
        <v>#VALUE!</v>
      </c>
    </row>
    <row r="34" spans="2:25" ht="18.75">
      <c r="B34" s="570" t="s">
        <v>330</v>
      </c>
      <c r="V34" s="291" t="s">
        <v>470</v>
      </c>
      <c r="W34" s="569">
        <f>SUM(L20:L22)</f>
        <v>0</v>
      </c>
      <c r="X34" s="291">
        <f t="shared" si="1"/>
        <v>0</v>
      </c>
      <c r="Y34" s="297" t="e">
        <f t="shared" si="2"/>
        <v>#VALUE!</v>
      </c>
    </row>
    <row r="35" spans="2:25" ht="15.75">
      <c r="B35" s="571" t="s">
        <v>426</v>
      </c>
      <c r="C35" s="571"/>
      <c r="D35" s="571"/>
      <c r="E35" s="794" t="s">
        <v>427</v>
      </c>
      <c r="F35" s="794"/>
      <c r="G35" s="794" t="s">
        <v>242</v>
      </c>
      <c r="H35" s="794"/>
      <c r="I35" s="794" t="s">
        <v>243</v>
      </c>
      <c r="J35" s="794"/>
      <c r="K35" s="794" t="s">
        <v>98</v>
      </c>
      <c r="L35" s="794"/>
      <c r="M35" s="561" t="s">
        <v>486</v>
      </c>
      <c r="V35" s="291" t="s">
        <v>471</v>
      </c>
      <c r="W35" s="566">
        <f>SUM(C25:C27)</f>
        <v>0</v>
      </c>
      <c r="X35" s="291">
        <f t="shared" si="1"/>
        <v>0</v>
      </c>
      <c r="Y35" s="297" t="e">
        <f t="shared" si="2"/>
        <v>#VALUE!</v>
      </c>
    </row>
    <row r="36" spans="2:25" ht="15.75">
      <c r="B36" s="291" t="s">
        <v>581</v>
      </c>
      <c r="E36" s="838" t="str">
        <f>IF(J11&lt;&gt;"",J11-1,"")</f>
        <v/>
      </c>
      <c r="F36" s="838"/>
      <c r="G36" s="839" t="str">
        <f>IF(C15&lt;&gt;"",IF(SUM(S15:S17)-T18&lt;0,0,SUM(S15:S17)-T18),"")</f>
        <v/>
      </c>
      <c r="H36" s="840"/>
      <c r="I36" s="840" t="str">
        <f>IF(G36&lt;&gt;"",G36/E36,"")</f>
        <v/>
      </c>
      <c r="J36" s="840"/>
      <c r="K36" s="840" t="str">
        <f>IF(I39&lt;&gt;"",IF(I39=0,0,I36/I39),"")</f>
        <v/>
      </c>
      <c r="L36" s="840"/>
      <c r="M36" s="551" t="str">
        <f>IF(K36&lt;&gt;"",IF(K36&gt;FINV(0.05,E36,E39),"*",""),"")</f>
        <v/>
      </c>
      <c r="V36" s="291" t="s">
        <v>472</v>
      </c>
      <c r="W36" s="569">
        <f>SUM(D25:D27)</f>
        <v>0</v>
      </c>
      <c r="X36" s="291">
        <f t="shared" si="1"/>
        <v>0</v>
      </c>
      <c r="Y36" s="297" t="e">
        <f t="shared" si="2"/>
        <v>#VALUE!</v>
      </c>
    </row>
    <row r="37" spans="2:25" ht="15.75">
      <c r="B37" s="291" t="s">
        <v>45</v>
      </c>
      <c r="E37" s="841" t="str">
        <f>IF(H11&lt;&gt;"",H11-1,"")</f>
        <v/>
      </c>
      <c r="F37" s="841"/>
      <c r="G37" s="842" t="str">
        <f>IF(C15&lt;&gt;"",IF(SUM(U22:U31)-T18&lt;0,0,SUM(U22:U31)-T18),"")</f>
        <v/>
      </c>
      <c r="H37" s="842"/>
      <c r="I37" s="842" t="str">
        <f>IF(G37&lt;&gt;"",G37/E37,"")</f>
        <v/>
      </c>
      <c r="J37" s="842"/>
      <c r="K37" s="842" t="str">
        <f>IF(I39&lt;&gt;"",IF(I39=0,0,I37/I39),"")</f>
        <v/>
      </c>
      <c r="L37" s="842"/>
      <c r="M37" s="551" t="str">
        <f>IF(K37&lt;&gt;"",IF(K37&gt;FINV(0.05,E37,E39),"*",""),"")</f>
        <v/>
      </c>
      <c r="V37" s="291" t="s">
        <v>473</v>
      </c>
      <c r="W37" s="569">
        <f>SUM(E25:E27)</f>
        <v>0</v>
      </c>
      <c r="X37" s="291">
        <f t="shared" si="1"/>
        <v>0</v>
      </c>
      <c r="Y37" s="297" t="e">
        <f t="shared" si="2"/>
        <v>#VALUE!</v>
      </c>
    </row>
    <row r="38" spans="2:25" ht="15.75">
      <c r="B38" s="291" t="s">
        <v>428</v>
      </c>
      <c r="E38" s="841" t="str">
        <f>IF(E36&lt;&gt;"",E36*E37,"")</f>
        <v/>
      </c>
      <c r="F38" s="841"/>
      <c r="G38" s="842" t="str">
        <f>IF(C15&lt;&gt;"",IF(SUM(Y15:Y44)-SUM(U22:U31)-SUM(S15:S17)+T18&lt;0,0,SUM(Y15:Y44)-SUM(U22:U31)-SUM(S15:S17)+T18),"")</f>
        <v/>
      </c>
      <c r="H38" s="842"/>
      <c r="I38" s="842" t="str">
        <f>IF(G38&lt;&gt;"",G38/E38,"")</f>
        <v/>
      </c>
      <c r="J38" s="842"/>
      <c r="K38" s="842" t="str">
        <f>IF(I39&lt;&gt;"",IF(I39=0,0,I38/I39),"")</f>
        <v/>
      </c>
      <c r="L38" s="842"/>
      <c r="M38" s="551" t="str">
        <f>IF(K38&lt;&gt;"",IF(K38&gt;FINV(0.05,E38,E39),"*",""),"")</f>
        <v/>
      </c>
      <c r="V38" s="291" t="s">
        <v>474</v>
      </c>
      <c r="W38" s="569">
        <f>SUM(F25:F27)</f>
        <v>0</v>
      </c>
      <c r="X38" s="291">
        <f t="shared" si="1"/>
        <v>0</v>
      </c>
      <c r="Y38" s="297" t="e">
        <f t="shared" si="2"/>
        <v>#VALUE!</v>
      </c>
    </row>
    <row r="39" spans="2:25" ht="15.75">
      <c r="B39" s="291" t="s">
        <v>429</v>
      </c>
      <c r="E39" s="841" t="str">
        <f>IF(H11&lt;&gt;"",H11*J11*(F11-1),"")</f>
        <v/>
      </c>
      <c r="F39" s="841"/>
      <c r="G39" s="842" t="str">
        <f>IF(C15&lt;&gt;"",IF(G40-G36-G37-G38&lt;0,0,G40-G36-G37-G38),"")</f>
        <v/>
      </c>
      <c r="H39" s="842"/>
      <c r="I39" s="842" t="str">
        <f>IF(G39&lt;&gt;"",G39/E39,"")</f>
        <v/>
      </c>
      <c r="J39" s="842"/>
      <c r="K39" s="842"/>
      <c r="L39" s="842"/>
      <c r="V39" s="291" t="s">
        <v>475</v>
      </c>
      <c r="W39" s="569">
        <f>SUM(G25:G27)</f>
        <v>0</v>
      </c>
      <c r="X39" s="291">
        <f t="shared" si="1"/>
        <v>0</v>
      </c>
      <c r="Y39" s="297" t="e">
        <f t="shared" si="2"/>
        <v>#VALUE!</v>
      </c>
    </row>
    <row r="40" spans="2:25" ht="15.75">
      <c r="B40" s="295" t="s">
        <v>403</v>
      </c>
      <c r="C40" s="295"/>
      <c r="D40" s="295"/>
      <c r="E40" s="662" t="str">
        <f>IF(F11&lt;&gt;"",F11*H11*J11-1,"")</f>
        <v/>
      </c>
      <c r="F40" s="662"/>
      <c r="G40" s="843" t="str">
        <f>IF(C15&lt;&gt;"",(SUM(AB16:AK24)-T18),"")</f>
        <v/>
      </c>
      <c r="H40" s="843"/>
      <c r="I40" s="843"/>
      <c r="J40" s="843"/>
      <c r="K40" s="843"/>
      <c r="L40" s="843"/>
      <c r="M40" s="295"/>
      <c r="V40" s="291" t="s">
        <v>476</v>
      </c>
      <c r="W40" s="569">
        <f>SUM(H25:H27)</f>
        <v>0</v>
      </c>
      <c r="X40" s="291">
        <f t="shared" si="1"/>
        <v>0</v>
      </c>
      <c r="Y40" s="297" t="e">
        <f t="shared" si="2"/>
        <v>#VALUE!</v>
      </c>
    </row>
    <row r="41" spans="2:25" ht="15.75">
      <c r="J41" s="291" t="s">
        <v>487</v>
      </c>
      <c r="V41" s="291" t="s">
        <v>477</v>
      </c>
      <c r="W41" s="569">
        <f>SUM(I25:I27)</f>
        <v>0</v>
      </c>
      <c r="X41" s="291">
        <f t="shared" si="1"/>
        <v>0</v>
      </c>
      <c r="Y41" s="297" t="e">
        <f t="shared" si="2"/>
        <v>#VALUE!</v>
      </c>
    </row>
    <row r="42" spans="2:25" ht="21.6" customHeight="1">
      <c r="V42" s="291" t="s">
        <v>478</v>
      </c>
      <c r="W42" s="569">
        <f>SUM(J25:J27)</f>
        <v>0</v>
      </c>
      <c r="X42" s="291">
        <f t="shared" si="1"/>
        <v>0</v>
      </c>
      <c r="Y42" s="297" t="e">
        <f t="shared" si="2"/>
        <v>#VALUE!</v>
      </c>
    </row>
    <row r="43" spans="2:25" ht="21.6" customHeight="1">
      <c r="V43" s="291" t="s">
        <v>479</v>
      </c>
      <c r="W43" s="569">
        <f>SUM(K25:K27)</f>
        <v>0</v>
      </c>
      <c r="X43" s="291">
        <f t="shared" si="1"/>
        <v>0</v>
      </c>
      <c r="Y43" s="297" t="e">
        <f t="shared" si="2"/>
        <v>#VALUE!</v>
      </c>
    </row>
    <row r="44" spans="2:25" ht="21.6" customHeight="1">
      <c r="V44" s="291" t="s">
        <v>480</v>
      </c>
      <c r="W44" s="569">
        <f>SUM(L25:L27)</f>
        <v>0</v>
      </c>
      <c r="X44" s="291">
        <f t="shared" si="1"/>
        <v>0</v>
      </c>
      <c r="Y44" s="297" t="e">
        <f t="shared" si="2"/>
        <v>#VALUE!</v>
      </c>
    </row>
    <row r="45" spans="2:25" ht="21.6" customHeight="1">
      <c r="W45" s="569"/>
    </row>
    <row r="48" spans="2:25" ht="12.75" customHeight="1">
      <c r="B48" s="844" t="s">
        <v>331</v>
      </c>
      <c r="C48" s="844"/>
      <c r="D48" s="844"/>
      <c r="E48" s="844"/>
      <c r="F48" s="846" t="s">
        <v>820</v>
      </c>
      <c r="G48" s="846"/>
      <c r="H48" s="848" t="s">
        <v>488</v>
      </c>
      <c r="I48" s="848"/>
      <c r="J48" s="848"/>
      <c r="K48" s="850" t="s">
        <v>489</v>
      </c>
      <c r="L48" s="850"/>
      <c r="M48" s="850"/>
    </row>
    <row r="49" spans="2:19" ht="15.75">
      <c r="B49" s="845"/>
      <c r="C49" s="845"/>
      <c r="D49" s="845"/>
      <c r="E49" s="845"/>
      <c r="F49" s="847"/>
      <c r="G49" s="847"/>
      <c r="H49" s="849"/>
      <c r="I49" s="849"/>
      <c r="J49" s="849"/>
      <c r="K49" s="851"/>
      <c r="L49" s="851"/>
      <c r="M49" s="851"/>
      <c r="P49" s="291" t="s">
        <v>494</v>
      </c>
      <c r="Q49" s="295" t="str">
        <f>IF(G39&lt;&gt;"",(G39+G38)/(Q20-H11-J11+1),"")</f>
        <v/>
      </c>
    </row>
    <row r="50" spans="2:19" ht="15.75" customHeight="1">
      <c r="B50" s="291" t="s">
        <v>490</v>
      </c>
      <c r="F50" s="839" t="str">
        <f>IF($M$38="*",Q53,R53)</f>
        <v/>
      </c>
      <c r="G50" s="840"/>
      <c r="H50" s="852" t="str">
        <f>IF(F50&lt;&gt;"",F50/M69,"")</f>
        <v/>
      </c>
      <c r="I50" s="852"/>
      <c r="J50" s="852"/>
      <c r="K50" s="852" t="str">
        <f>IF(H50&lt;&gt;"",H50*H50,"")</f>
        <v/>
      </c>
      <c r="L50" s="852"/>
      <c r="M50" s="852"/>
    </row>
    <row r="51" spans="2:19" ht="15.75" customHeight="1">
      <c r="B51" s="291" t="s">
        <v>491</v>
      </c>
      <c r="F51" s="853" t="str">
        <f>IF($M$38="*",Q54,R54)</f>
        <v/>
      </c>
      <c r="G51" s="842"/>
      <c r="H51" s="854" t="str">
        <f>IF(F51&lt;&gt;"",F51/M69,"")</f>
        <v/>
      </c>
      <c r="I51" s="854"/>
      <c r="J51" s="854"/>
      <c r="K51" s="854" t="str">
        <f>IF(H51&lt;&gt;"",H51*H51,"")</f>
        <v/>
      </c>
      <c r="L51" s="854"/>
      <c r="M51" s="854"/>
    </row>
    <row r="52" spans="2:19" ht="15.75" customHeight="1">
      <c r="B52" s="291" t="s">
        <v>492</v>
      </c>
      <c r="F52" s="853" t="str">
        <f>IF($M$38="*",Q55,R55)</f>
        <v/>
      </c>
      <c r="G52" s="842"/>
      <c r="H52" s="854" t="str">
        <f>IF(F52&lt;&gt;"",F52/M69,"")</f>
        <v/>
      </c>
      <c r="I52" s="854"/>
      <c r="J52" s="854"/>
      <c r="K52" s="854" t="str">
        <f>IF(H52&lt;&gt;"",H52*H52,"")</f>
        <v/>
      </c>
      <c r="L52" s="854"/>
      <c r="M52" s="854"/>
      <c r="Q52" s="291" t="s">
        <v>312</v>
      </c>
      <c r="R52" s="291" t="s">
        <v>313</v>
      </c>
    </row>
    <row r="53" spans="2:19" ht="15.75" customHeight="1">
      <c r="B53" s="291" t="s">
        <v>86</v>
      </c>
      <c r="F53" s="853" t="str">
        <f>IF($M$38="*",Q56,R56)</f>
        <v/>
      </c>
      <c r="G53" s="842"/>
      <c r="H53" s="855" t="str">
        <f>IF(F53&lt;&gt;"",F53/M69,"")</f>
        <v/>
      </c>
      <c r="I53" s="856"/>
      <c r="J53" s="857"/>
      <c r="K53" s="854" t="str">
        <f>IF(H53&lt;&gt;"",H53*H53,"")</f>
        <v/>
      </c>
      <c r="L53" s="854"/>
      <c r="M53" s="854"/>
      <c r="P53" s="291" t="s">
        <v>53</v>
      </c>
      <c r="Q53" s="291" t="str">
        <f>IF(M38&lt;&gt;"",SQRT(I39),"")</f>
        <v/>
      </c>
      <c r="R53" s="291" t="str">
        <f>IF(Q49&lt;&gt;"",SQRT(Q49),"")</f>
        <v/>
      </c>
    </row>
    <row r="54" spans="2:19" ht="15.75" customHeight="1">
      <c r="B54" s="291" t="s">
        <v>493</v>
      </c>
      <c r="F54" s="853" t="str">
        <f>IF($M$38="*",Q57,R57)</f>
        <v/>
      </c>
      <c r="G54" s="842"/>
      <c r="H54" s="854" t="str">
        <f>IF(F54&lt;&gt;"",F54/M69,"")</f>
        <v/>
      </c>
      <c r="I54" s="854"/>
      <c r="J54" s="854"/>
      <c r="K54" s="854" t="str">
        <f>IF(H54&lt;&gt;"",H54*H54,"")</f>
        <v/>
      </c>
      <c r="L54" s="854"/>
      <c r="M54" s="854"/>
      <c r="P54" s="291" t="s">
        <v>61</v>
      </c>
      <c r="Q54" s="569" t="str">
        <f>IF(M38&lt;&gt;"",IF(I36-I38&lt;0,0,SQRT((I36-I38)/Q19)),"")</f>
        <v/>
      </c>
      <c r="R54" s="569" t="str">
        <f>IF(Q49&lt;&gt;"",IF(I36-Q49&lt;0,0,SQRT((I36-Q49)/Q19)),"")</f>
        <v/>
      </c>
      <c r="S54" s="461"/>
    </row>
    <row r="55" spans="2:19">
      <c r="H55" s="572" t="str">
        <f>IF(H53&lt;&gt;"",IF(H53&lt;10%,"Gage system O.K",IF(H53&lt;30%,"Gage system may be acceptable","Gage system needs improvement")),"")</f>
        <v/>
      </c>
      <c r="P55" s="291" t="s">
        <v>314</v>
      </c>
      <c r="Q55" s="569" t="str">
        <f>IF(M38&lt;&gt;"",IF(I38-I39&lt;0,0,SQRT((I38-I39)/H11)),"")</f>
        <v/>
      </c>
      <c r="R55" s="569" t="str">
        <f>IF(I38&lt;&gt;"",IF(I38-I39&lt;0,0,SQRT((I38-I39)/H11)),"")</f>
        <v/>
      </c>
      <c r="S55" s="461"/>
    </row>
    <row r="56" spans="2:19">
      <c r="H56" s="572"/>
      <c r="P56" s="291" t="s">
        <v>86</v>
      </c>
      <c r="Q56" s="569" t="str">
        <f>IF(M38&lt;&gt;"",SQRT(F50*F50+F51*F51+F52*F52),"")</f>
        <v/>
      </c>
      <c r="R56" s="569" t="str">
        <f>IF(F50&lt;&gt;"",SQRT(F50*F50+F51*F51),"")</f>
        <v/>
      </c>
      <c r="S56" s="461"/>
    </row>
    <row r="57" spans="2:19">
      <c r="P57" s="291" t="s">
        <v>72</v>
      </c>
      <c r="Q57" s="569" t="str">
        <f>IF(M38&lt;&gt;"",IF(I37-I38&lt;0,0,SQRT((I37-I38)/J11/F11)),"")</f>
        <v/>
      </c>
      <c r="R57" s="569" t="str">
        <f>IF(Q49&lt;&gt;"",IF(I37-Q49&lt;0,0,SQRT((I37-Q49)/J11/F11)),"")</f>
        <v/>
      </c>
      <c r="S57" s="461"/>
    </row>
    <row r="58" spans="2:19">
      <c r="B58" s="844" t="s">
        <v>331</v>
      </c>
      <c r="C58" s="844"/>
      <c r="D58" s="844"/>
      <c r="E58" s="844"/>
      <c r="F58" s="846" t="s">
        <v>820</v>
      </c>
      <c r="G58" s="846"/>
      <c r="H58" s="848" t="s">
        <v>327</v>
      </c>
      <c r="I58" s="848"/>
      <c r="J58" s="848"/>
      <c r="K58" s="850" t="s">
        <v>489</v>
      </c>
      <c r="L58" s="850"/>
      <c r="M58" s="850"/>
    </row>
    <row r="59" spans="2:19">
      <c r="B59" s="845"/>
      <c r="C59" s="845"/>
      <c r="D59" s="845"/>
      <c r="E59" s="845"/>
      <c r="F59" s="847"/>
      <c r="G59" s="847"/>
      <c r="H59" s="849"/>
      <c r="I59" s="849"/>
      <c r="J59" s="849"/>
      <c r="K59" s="851"/>
      <c r="L59" s="851"/>
      <c r="M59" s="851"/>
    </row>
    <row r="60" spans="2:19" ht="15.75" customHeight="1">
      <c r="B60" s="291" t="s">
        <v>490</v>
      </c>
      <c r="F60" s="840" t="str">
        <f>IF(F50&lt;&gt;"",F50,"")</f>
        <v/>
      </c>
      <c r="G60" s="840"/>
      <c r="H60" s="852" t="str">
        <f>IF(F60&lt;&gt;"",F60/($D$69/6),"")</f>
        <v/>
      </c>
      <c r="I60" s="852"/>
      <c r="J60" s="852"/>
      <c r="K60" s="852" t="s">
        <v>596</v>
      </c>
      <c r="L60" s="852"/>
      <c r="M60" s="852"/>
    </row>
    <row r="61" spans="2:19" ht="15.75" customHeight="1">
      <c r="B61" s="291" t="s">
        <v>491</v>
      </c>
      <c r="F61" s="842" t="str">
        <f>IF(F51&lt;&gt;"",F51,"")</f>
        <v/>
      </c>
      <c r="G61" s="842"/>
      <c r="H61" s="854" t="str">
        <f>IF(F61&lt;&gt;"",F61/($D$69/6),"")</f>
        <v/>
      </c>
      <c r="I61" s="854"/>
      <c r="J61" s="854"/>
      <c r="K61" s="854" t="s">
        <v>596</v>
      </c>
      <c r="L61" s="854"/>
      <c r="M61" s="854"/>
    </row>
    <row r="62" spans="2:19" ht="15.75" customHeight="1">
      <c r="B62" s="291" t="s">
        <v>492</v>
      </c>
      <c r="F62" s="842" t="str">
        <f>IF(F52&lt;&gt;"",F52,"")</f>
        <v/>
      </c>
      <c r="G62" s="842"/>
      <c r="H62" s="854" t="str">
        <f>IF(F62&lt;&gt;"",F62/($D$69/6),"")</f>
        <v/>
      </c>
      <c r="I62" s="854"/>
      <c r="J62" s="854"/>
      <c r="K62" s="854" t="s">
        <v>596</v>
      </c>
      <c r="L62" s="854"/>
      <c r="M62" s="854"/>
    </row>
    <row r="63" spans="2:19" ht="15.75" customHeight="1">
      <c r="B63" s="291" t="s">
        <v>86</v>
      </c>
      <c r="F63" s="842" t="str">
        <f>IF(F53&lt;&gt;"",F53,"")</f>
        <v/>
      </c>
      <c r="G63" s="842"/>
      <c r="H63" s="855" t="str">
        <f>IF(F63&lt;&gt;"",F63/($D$69/6),"")</f>
        <v/>
      </c>
      <c r="I63" s="856"/>
      <c r="J63" s="857"/>
      <c r="K63" s="854" t="s">
        <v>596</v>
      </c>
      <c r="L63" s="854"/>
      <c r="M63" s="854"/>
    </row>
    <row r="64" spans="2:19" ht="15.75" customHeight="1">
      <c r="B64" s="291" t="s">
        <v>493</v>
      </c>
      <c r="F64" s="842" t="str">
        <f>IF(F54&lt;&gt;"",F54,"")</f>
        <v/>
      </c>
      <c r="G64" s="842"/>
      <c r="H64" s="854" t="str">
        <f>IF(F64&lt;&gt;"",F64/($D$69/6),"")</f>
        <v/>
      </c>
      <c r="I64" s="854"/>
      <c r="J64" s="854"/>
      <c r="K64" s="854" t="s">
        <v>596</v>
      </c>
      <c r="L64" s="854"/>
      <c r="M64" s="854"/>
    </row>
    <row r="65" spans="2:13">
      <c r="H65" s="572" t="str">
        <f>IF(H63&lt;&gt;"",IF(H63&lt;10%,"Gage system O.K",IF(H63&lt;30%,"Gage system may be acceptable","Gage system needs improvement")),"")</f>
        <v/>
      </c>
    </row>
    <row r="67" spans="2:13">
      <c r="B67" s="858" t="s">
        <v>315</v>
      </c>
      <c r="C67" s="858"/>
      <c r="D67" s="858"/>
      <c r="E67" s="858"/>
    </row>
    <row r="68" spans="2:13">
      <c r="B68" s="859"/>
      <c r="C68" s="859"/>
      <c r="D68" s="859"/>
      <c r="E68" s="859"/>
      <c r="F68" s="295"/>
      <c r="G68" s="295"/>
      <c r="H68" s="295"/>
      <c r="I68" s="295"/>
      <c r="J68" s="295"/>
      <c r="K68" s="295"/>
      <c r="L68" s="295"/>
      <c r="M68" s="295"/>
    </row>
    <row r="69" spans="2:13" ht="15.75" customHeight="1">
      <c r="B69" s="291" t="s">
        <v>574</v>
      </c>
      <c r="D69" s="566" t="str">
        <f>IF(AND(C15&lt;&gt;"",D9&lt;&gt;"Lower"),E9-D9,"")</f>
        <v/>
      </c>
      <c r="J69" s="291" t="s">
        <v>573</v>
      </c>
      <c r="M69" s="328" t="str">
        <f>IF(F53&lt;&gt;"",SQRT(F53*F53+F54*F54),"")</f>
        <v/>
      </c>
    </row>
    <row r="70" spans="2:13" ht="15.75" customHeight="1">
      <c r="B70" s="291" t="s">
        <v>575</v>
      </c>
      <c r="H70" s="793" t="str">
        <f>IF(H54&lt;&gt;"",TRUNC(1.41*F54/F53),"")</f>
        <v/>
      </c>
      <c r="I70" s="794"/>
      <c r="J70" s="795"/>
    </row>
    <row r="71" spans="2:13">
      <c r="B71" s="295"/>
      <c r="C71" s="295"/>
      <c r="D71" s="295"/>
      <c r="E71" s="295"/>
      <c r="F71" s="295"/>
      <c r="G71" s="295"/>
      <c r="H71" s="573" t="str">
        <f>IF(H70&lt;&gt;"",IF(H70&lt;5,"Gage discrimination low","Gage discrimination acceptable"),"")</f>
        <v/>
      </c>
      <c r="I71" s="573"/>
      <c r="J71" s="573"/>
      <c r="K71" s="573"/>
      <c r="L71" s="295"/>
      <c r="M71" s="295"/>
    </row>
    <row r="74" spans="2:13">
      <c r="B74" s="858" t="s">
        <v>316</v>
      </c>
      <c r="C74" s="858"/>
      <c r="D74" s="858"/>
    </row>
    <row r="75" spans="2:13">
      <c r="B75" s="858"/>
      <c r="C75" s="858"/>
      <c r="D75" s="858"/>
      <c r="E75" s="295"/>
      <c r="F75" s="295"/>
      <c r="G75" s="295"/>
      <c r="H75" s="295"/>
      <c r="I75" s="295"/>
      <c r="J75" s="295"/>
      <c r="K75" s="295"/>
      <c r="L75" s="295"/>
      <c r="M75" s="295"/>
    </row>
    <row r="76" spans="2:13">
      <c r="E76" s="327"/>
      <c r="F76" s="327"/>
      <c r="G76" s="327"/>
      <c r="H76" s="327"/>
      <c r="I76" s="327"/>
      <c r="J76" s="327"/>
      <c r="K76" s="327"/>
      <c r="L76" s="327"/>
      <c r="M76" s="327"/>
    </row>
  </sheetData>
  <mergeCells count="80">
    <mergeCell ref="A2:N3"/>
    <mergeCell ref="B67:E68"/>
    <mergeCell ref="H70:J70"/>
    <mergeCell ref="B74:D75"/>
    <mergeCell ref="F63:G63"/>
    <mergeCell ref="H63:J63"/>
    <mergeCell ref="K63:M63"/>
    <mergeCell ref="F64:G64"/>
    <mergeCell ref="H64:J64"/>
    <mergeCell ref="K64:M64"/>
    <mergeCell ref="F61:G61"/>
    <mergeCell ref="H61:J61"/>
    <mergeCell ref="K61:M61"/>
    <mergeCell ref="F62:G62"/>
    <mergeCell ref="H62:J62"/>
    <mergeCell ref="K62:M62"/>
    <mergeCell ref="B58:E59"/>
    <mergeCell ref="F58:G59"/>
    <mergeCell ref="H58:J59"/>
    <mergeCell ref="K58:M59"/>
    <mergeCell ref="F60:G60"/>
    <mergeCell ref="H60:J60"/>
    <mergeCell ref="K60:M60"/>
    <mergeCell ref="F53:G53"/>
    <mergeCell ref="H53:J53"/>
    <mergeCell ref="K53:M53"/>
    <mergeCell ref="F54:G54"/>
    <mergeCell ref="H54:J54"/>
    <mergeCell ref="K54:M54"/>
    <mergeCell ref="F51:G51"/>
    <mergeCell ref="H51:J51"/>
    <mergeCell ref="K51:M51"/>
    <mergeCell ref="F52:G52"/>
    <mergeCell ref="H52:J52"/>
    <mergeCell ref="K52:M52"/>
    <mergeCell ref="B48:E49"/>
    <mergeCell ref="F48:G49"/>
    <mergeCell ref="H48:J49"/>
    <mergeCell ref="K48:M49"/>
    <mergeCell ref="F50:G50"/>
    <mergeCell ref="H50:J50"/>
    <mergeCell ref="K50:M50"/>
    <mergeCell ref="E39:F39"/>
    <mergeCell ref="G39:H39"/>
    <mergeCell ref="I39:J39"/>
    <mergeCell ref="K39:L39"/>
    <mergeCell ref="E40:F40"/>
    <mergeCell ref="G40:H40"/>
    <mergeCell ref="I40:J40"/>
    <mergeCell ref="K40:L40"/>
    <mergeCell ref="E37:F37"/>
    <mergeCell ref="G37:H37"/>
    <mergeCell ref="I37:J37"/>
    <mergeCell ref="K37:L37"/>
    <mergeCell ref="E38:F38"/>
    <mergeCell ref="G38:H38"/>
    <mergeCell ref="I38:J38"/>
    <mergeCell ref="K38:L38"/>
    <mergeCell ref="E35:F35"/>
    <mergeCell ref="G35:H35"/>
    <mergeCell ref="I35:J35"/>
    <mergeCell ref="K35:L35"/>
    <mergeCell ref="E36:F36"/>
    <mergeCell ref="G36:H36"/>
    <mergeCell ref="I36:J36"/>
    <mergeCell ref="K36:L36"/>
    <mergeCell ref="A9:C9"/>
    <mergeCell ref="F9:I9"/>
    <mergeCell ref="J9:N9"/>
    <mergeCell ref="A11:E11"/>
    <mergeCell ref="F11:G11"/>
    <mergeCell ref="H11:I11"/>
    <mergeCell ref="J11:K11"/>
    <mergeCell ref="L11:N11"/>
    <mergeCell ref="A5:E5"/>
    <mergeCell ref="F5:I5"/>
    <mergeCell ref="J5:N5"/>
    <mergeCell ref="A7:E7"/>
    <mergeCell ref="F7:I7"/>
    <mergeCell ref="J7:N7"/>
  </mergeCells>
  <printOptions horizontalCentered="1"/>
  <pageMargins left="0.25" right="0.5" top="1.1041666666666701" bottom="0.75" header="0.5" footer="0.5"/>
  <pageSetup orientation="portrait" horizontalDpi="4294967292" verticalDpi="1200" r:id="rId1"/>
  <headerFooter alignWithMargins="0">
    <oddHeader>&amp;L&amp;G&amp;C&amp;"Arial,Bold"&amp;14          GAGE R&amp;&amp;R DATA SHEET</oddHeader>
    <oddFooter>&amp;C&amp;F</oddFooter>
  </headerFooter>
  <legacyDrawingHF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BI442"/>
  <sheetViews>
    <sheetView showGridLines="0" view="pageLayout" zoomScaleNormal="100" workbookViewId="0">
      <selection activeCell="A2" sqref="A2:N3"/>
    </sheetView>
  </sheetViews>
  <sheetFormatPr defaultRowHeight="12.75"/>
  <cols>
    <col min="1" max="1" width="7.5703125" customWidth="1"/>
    <col min="2" max="2" width="4.85546875" customWidth="1"/>
    <col min="3" max="12" width="6.28515625" customWidth="1"/>
    <col min="13" max="13" width="5.28515625" customWidth="1"/>
    <col min="14" max="14" width="8" customWidth="1"/>
    <col min="16" max="16" width="10.7109375" customWidth="1"/>
    <col min="17" max="62" width="6.140625" customWidth="1"/>
  </cols>
  <sheetData>
    <row r="1" spans="1:14" ht="18">
      <c r="A1" s="76"/>
      <c r="B1" s="69"/>
      <c r="C1" s="69"/>
      <c r="D1" s="69"/>
      <c r="E1" s="69"/>
      <c r="F1" s="69"/>
      <c r="G1" s="69"/>
      <c r="H1" s="69"/>
      <c r="I1" s="69"/>
      <c r="J1" s="69"/>
      <c r="K1" s="69"/>
      <c r="L1" s="69"/>
      <c r="M1" s="69"/>
      <c r="N1" s="69"/>
    </row>
    <row r="2" spans="1:14" ht="17.45" customHeight="1">
      <c r="A2" s="860" t="s">
        <v>901</v>
      </c>
      <c r="B2" s="860"/>
      <c r="C2" s="860"/>
      <c r="D2" s="860"/>
      <c r="E2" s="860"/>
      <c r="F2" s="860"/>
      <c r="G2" s="860"/>
      <c r="H2" s="860"/>
      <c r="I2" s="860"/>
      <c r="J2" s="860"/>
      <c r="K2" s="860"/>
      <c r="L2" s="860"/>
      <c r="M2" s="860"/>
      <c r="N2" s="860"/>
    </row>
    <row r="3" spans="1:14">
      <c r="A3" s="861"/>
      <c r="B3" s="861"/>
      <c r="C3" s="861"/>
      <c r="D3" s="861"/>
      <c r="E3" s="861"/>
      <c r="F3" s="861"/>
      <c r="G3" s="861"/>
      <c r="H3" s="861"/>
      <c r="I3" s="861"/>
      <c r="J3" s="861"/>
      <c r="K3" s="861"/>
      <c r="L3" s="861"/>
      <c r="M3" s="861"/>
      <c r="N3" s="861"/>
    </row>
    <row r="4" spans="1:14" s="4" customFormat="1" ht="11.25">
      <c r="A4" s="12" t="s">
        <v>310</v>
      </c>
      <c r="B4" s="13"/>
      <c r="C4" s="13"/>
      <c r="D4" s="13"/>
      <c r="E4" s="31"/>
      <c r="F4" s="12" t="s">
        <v>30</v>
      </c>
      <c r="G4" s="13"/>
      <c r="H4" s="13"/>
      <c r="I4" s="31"/>
      <c r="J4" s="12" t="s">
        <v>31</v>
      </c>
      <c r="K4" s="13"/>
      <c r="L4" s="13"/>
      <c r="M4" s="13"/>
      <c r="N4" s="31"/>
    </row>
    <row r="5" spans="1:14">
      <c r="A5" s="825">
        <f>'Header Info'!C7</f>
        <v>0</v>
      </c>
      <c r="B5" s="827"/>
      <c r="C5" s="827"/>
      <c r="D5" s="827"/>
      <c r="E5" s="826"/>
      <c r="F5" s="832"/>
      <c r="G5" s="833"/>
      <c r="H5" s="833"/>
      <c r="I5" s="834"/>
      <c r="J5" s="832"/>
      <c r="K5" s="833"/>
      <c r="L5" s="833"/>
      <c r="M5" s="833"/>
      <c r="N5" s="834"/>
    </row>
    <row r="6" spans="1:14" s="4" customFormat="1" ht="11.25">
      <c r="A6" s="12" t="s">
        <v>309</v>
      </c>
      <c r="B6" s="13"/>
      <c r="C6" s="13"/>
      <c r="D6" s="13"/>
      <c r="E6" s="31"/>
      <c r="F6" s="12" t="s">
        <v>32</v>
      </c>
      <c r="G6" s="13"/>
      <c r="H6" s="13"/>
      <c r="I6" s="31"/>
      <c r="J6" s="12" t="s">
        <v>33</v>
      </c>
      <c r="K6" s="13"/>
      <c r="L6" s="13"/>
      <c r="M6" s="13"/>
      <c r="N6" s="31"/>
    </row>
    <row r="7" spans="1:14">
      <c r="A7" s="825">
        <f>'Header Info'!C6</f>
        <v>0</v>
      </c>
      <c r="B7" s="827"/>
      <c r="C7" s="827"/>
      <c r="D7" s="827"/>
      <c r="E7" s="826"/>
      <c r="F7" s="832"/>
      <c r="G7" s="833"/>
      <c r="H7" s="833"/>
      <c r="I7" s="834"/>
      <c r="J7" s="832"/>
      <c r="K7" s="833"/>
      <c r="L7" s="833"/>
      <c r="M7" s="833"/>
      <c r="N7" s="834"/>
    </row>
    <row r="8" spans="1:14" s="4" customFormat="1" ht="11.25">
      <c r="A8" s="12" t="s">
        <v>18</v>
      </c>
      <c r="B8" s="13"/>
      <c r="C8" s="13"/>
      <c r="D8" s="562" t="s">
        <v>196</v>
      </c>
      <c r="E8" s="563" t="s">
        <v>155</v>
      </c>
      <c r="F8" s="12" t="s">
        <v>34</v>
      </c>
      <c r="G8" s="13"/>
      <c r="H8" s="13"/>
      <c r="I8" s="31"/>
      <c r="J8" s="12" t="s">
        <v>42</v>
      </c>
      <c r="K8" s="13"/>
      <c r="L8" s="13"/>
      <c r="M8" s="13"/>
      <c r="N8" s="31"/>
    </row>
    <row r="9" spans="1:14">
      <c r="A9" s="832"/>
      <c r="B9" s="833"/>
      <c r="C9" s="833"/>
      <c r="D9" s="564"/>
      <c r="E9" s="565"/>
      <c r="F9" s="832"/>
      <c r="G9" s="833"/>
      <c r="H9" s="833"/>
      <c r="I9" s="834"/>
      <c r="J9" s="832"/>
      <c r="K9" s="833"/>
      <c r="L9" s="833"/>
      <c r="M9" s="833"/>
      <c r="N9" s="834"/>
    </row>
    <row r="10" spans="1:14">
      <c r="A10" s="12" t="s">
        <v>43</v>
      </c>
      <c r="B10" s="13"/>
      <c r="C10" s="13"/>
      <c r="D10" s="13"/>
      <c r="E10" s="31"/>
      <c r="F10" s="12" t="s">
        <v>44</v>
      </c>
      <c r="G10" s="31"/>
      <c r="H10" s="12" t="s">
        <v>45</v>
      </c>
      <c r="I10" s="31"/>
      <c r="J10" s="12" t="s">
        <v>46</v>
      </c>
      <c r="K10" s="31"/>
      <c r="L10" s="12" t="s">
        <v>35</v>
      </c>
      <c r="M10" s="13"/>
      <c r="N10" s="31"/>
    </row>
    <row r="11" spans="1:14">
      <c r="A11" s="832"/>
      <c r="B11" s="833"/>
      <c r="C11" s="833"/>
      <c r="D11" s="833"/>
      <c r="E11" s="834"/>
      <c r="F11" s="835" t="str">
        <f>IF(C15&lt;&gt;"",COUNT(C15:C17),"")</f>
        <v/>
      </c>
      <c r="G11" s="836"/>
      <c r="H11" s="835" t="str">
        <f>IF(C15&lt;&gt;"",COUNT(C15:L15),"")</f>
        <v/>
      </c>
      <c r="I11" s="836"/>
      <c r="J11" s="835" t="str">
        <f>IF(C15&lt;&gt;"",COUNT(C15,C20,C25),"")</f>
        <v/>
      </c>
      <c r="K11" s="836"/>
      <c r="L11" s="862"/>
      <c r="M11" s="863"/>
      <c r="N11" s="864"/>
    </row>
    <row r="12" spans="1:14">
      <c r="D12" s="183"/>
      <c r="E12" s="183" t="str">
        <f>IF(D9&gt;E9,"ENTER LOWER TOLERANCE IN D9","")</f>
        <v/>
      </c>
      <c r="F12" t="str">
        <f>IF(C15&lt;&gt;"",IF(F11*H11*J11&lt;90,"DERIVED RESULTS MAY NOT BE STATISTICALLY SOUND",""),"")</f>
        <v/>
      </c>
      <c r="G12" s="15"/>
      <c r="I12" s="15"/>
      <c r="K12" s="15"/>
    </row>
    <row r="13" spans="1:14">
      <c r="A13" s="38" t="s">
        <v>47</v>
      </c>
      <c r="B13" s="7"/>
      <c r="C13" s="134" t="s">
        <v>27</v>
      </c>
      <c r="D13" s="135"/>
      <c r="E13" s="135"/>
      <c r="F13" s="135"/>
      <c r="G13" s="135"/>
      <c r="H13" s="135"/>
      <c r="I13" s="135"/>
      <c r="J13" s="135"/>
      <c r="K13" s="135"/>
      <c r="L13" s="136"/>
      <c r="M13" s="133" t="s">
        <v>48</v>
      </c>
      <c r="N13" s="77"/>
    </row>
    <row r="14" spans="1:14" ht="15.75" customHeight="1" thickBot="1">
      <c r="A14" s="39" t="s">
        <v>50</v>
      </c>
      <c r="B14" s="11"/>
      <c r="C14" s="37">
        <v>1</v>
      </c>
      <c r="D14" s="37">
        <v>2</v>
      </c>
      <c r="E14" s="37">
        <v>3</v>
      </c>
      <c r="F14" s="37">
        <v>4</v>
      </c>
      <c r="G14" s="37">
        <v>5</v>
      </c>
      <c r="H14" s="37">
        <v>6</v>
      </c>
      <c r="I14" s="37">
        <v>7</v>
      </c>
      <c r="J14" s="37">
        <v>8</v>
      </c>
      <c r="K14" s="37">
        <v>9</v>
      </c>
      <c r="L14" s="37">
        <v>10</v>
      </c>
      <c r="M14" s="10"/>
      <c r="N14" s="11"/>
    </row>
    <row r="15" spans="1:14" ht="18" customHeight="1">
      <c r="A15" s="42" t="s">
        <v>52</v>
      </c>
      <c r="B15" s="43">
        <v>1</v>
      </c>
      <c r="C15" s="181"/>
      <c r="D15" s="181"/>
      <c r="E15" s="181"/>
      <c r="F15" s="181"/>
      <c r="G15" s="181"/>
      <c r="H15" s="181"/>
      <c r="I15" s="181"/>
      <c r="J15" s="181"/>
      <c r="K15" s="181"/>
      <c r="L15" s="181"/>
      <c r="M15" s="50"/>
      <c r="N15" s="61" t="str">
        <f t="shared" ref="N15:N29" si="0">IF(C15&lt;&gt;"",AVERAGE(C15:L15),"")</f>
        <v/>
      </c>
    </row>
    <row r="16" spans="1:14" ht="18" customHeight="1">
      <c r="A16" s="44">
        <v>2</v>
      </c>
      <c r="B16" s="40">
        <v>2</v>
      </c>
      <c r="C16" s="109"/>
      <c r="D16" s="109"/>
      <c r="E16" s="109"/>
      <c r="F16" s="109"/>
      <c r="G16" s="109"/>
      <c r="H16" s="109"/>
      <c r="I16" s="109"/>
      <c r="J16" s="109"/>
      <c r="K16" s="109"/>
      <c r="L16" s="109"/>
      <c r="M16" s="1"/>
      <c r="N16" s="62" t="str">
        <f t="shared" si="0"/>
        <v/>
      </c>
    </row>
    <row r="17" spans="1:14" ht="18" customHeight="1">
      <c r="A17" s="45">
        <f>A16+1</f>
        <v>3</v>
      </c>
      <c r="B17" s="41">
        <v>3</v>
      </c>
      <c r="C17" s="182"/>
      <c r="D17" s="182"/>
      <c r="E17" s="182"/>
      <c r="F17" s="182"/>
      <c r="G17" s="182"/>
      <c r="H17" s="182"/>
      <c r="I17" s="182"/>
      <c r="J17" s="182"/>
      <c r="K17" s="182"/>
      <c r="L17" s="182"/>
      <c r="M17" s="1"/>
      <c r="N17" s="62" t="str">
        <f t="shared" si="0"/>
        <v/>
      </c>
    </row>
    <row r="18" spans="1:14" ht="18" customHeight="1">
      <c r="A18" s="45">
        <f>A17+1</f>
        <v>4</v>
      </c>
      <c r="B18" s="41" t="s">
        <v>57</v>
      </c>
      <c r="C18" s="54" t="str">
        <f>IF(C15&lt;&gt;"",SUM(C15:C17)/COUNT(C15:C17),"")</f>
        <v/>
      </c>
      <c r="D18" s="54" t="str">
        <f t="shared" ref="D18:L18" si="1">IF(D15&lt;&gt;"",SUM(D15:D17)/COUNT(D15:D17),"")</f>
        <v/>
      </c>
      <c r="E18" s="54" t="str">
        <f t="shared" si="1"/>
        <v/>
      </c>
      <c r="F18" s="54" t="str">
        <f t="shared" si="1"/>
        <v/>
      </c>
      <c r="G18" s="54" t="str">
        <f t="shared" si="1"/>
        <v/>
      </c>
      <c r="H18" s="54" t="str">
        <f t="shared" si="1"/>
        <v/>
      </c>
      <c r="I18" s="54" t="str">
        <f t="shared" si="1"/>
        <v/>
      </c>
      <c r="J18" s="54" t="str">
        <f t="shared" si="1"/>
        <v/>
      </c>
      <c r="K18" s="54" t="str">
        <f t="shared" si="1"/>
        <v/>
      </c>
      <c r="L18" s="54" t="str">
        <f t="shared" si="1"/>
        <v/>
      </c>
      <c r="M18" s="119" t="s">
        <v>58</v>
      </c>
      <c r="N18" s="62" t="str">
        <f t="shared" si="0"/>
        <v/>
      </c>
    </row>
    <row r="19" spans="1:14" ht="18" customHeight="1" thickBot="1">
      <c r="A19" s="46">
        <f>A18+1</f>
        <v>5</v>
      </c>
      <c r="B19" s="47" t="s">
        <v>19</v>
      </c>
      <c r="C19" s="59" t="str">
        <f>IF(C15&lt;&gt;"",MAX(C15:C17)-MIN(C15:C17),"")</f>
        <v/>
      </c>
      <c r="D19" s="59" t="str">
        <f t="shared" ref="D19:L19" si="2">IF(D15&lt;&gt;"",MAX(D15:D17)-MIN(D15:D17),"")</f>
        <v/>
      </c>
      <c r="E19" s="59" t="str">
        <f t="shared" si="2"/>
        <v/>
      </c>
      <c r="F19" s="59" t="str">
        <f t="shared" si="2"/>
        <v/>
      </c>
      <c r="G19" s="59" t="str">
        <f t="shared" si="2"/>
        <v/>
      </c>
      <c r="H19" s="59" t="str">
        <f t="shared" si="2"/>
        <v/>
      </c>
      <c r="I19" s="59" t="str">
        <f t="shared" si="2"/>
        <v/>
      </c>
      <c r="J19" s="59" t="str">
        <f t="shared" si="2"/>
        <v/>
      </c>
      <c r="K19" s="59" t="str">
        <f t="shared" si="2"/>
        <v/>
      </c>
      <c r="L19" s="59" t="str">
        <f t="shared" si="2"/>
        <v/>
      </c>
      <c r="M19" s="120" t="s">
        <v>60</v>
      </c>
      <c r="N19" s="62" t="str">
        <f t="shared" si="0"/>
        <v/>
      </c>
    </row>
    <row r="20" spans="1:14" ht="18" customHeight="1">
      <c r="A20" s="42" t="s">
        <v>64</v>
      </c>
      <c r="B20" s="43">
        <v>1</v>
      </c>
      <c r="C20" s="181"/>
      <c r="D20" s="181"/>
      <c r="E20" s="181"/>
      <c r="F20" s="181"/>
      <c r="G20" s="181"/>
      <c r="H20" s="181"/>
      <c r="I20" s="181"/>
      <c r="J20" s="181"/>
      <c r="K20" s="181"/>
      <c r="L20" s="181"/>
      <c r="M20" s="50"/>
      <c r="N20" s="61" t="str">
        <f t="shared" si="0"/>
        <v/>
      </c>
    </row>
    <row r="21" spans="1:14" ht="18" customHeight="1">
      <c r="A21" s="45">
        <v>7</v>
      </c>
      <c r="B21" s="40">
        <v>2</v>
      </c>
      <c r="C21" s="109"/>
      <c r="D21" s="109"/>
      <c r="E21" s="109"/>
      <c r="F21" s="109"/>
      <c r="G21" s="109"/>
      <c r="H21" s="109"/>
      <c r="I21" s="109"/>
      <c r="J21" s="109"/>
      <c r="K21" s="109"/>
      <c r="L21" s="109"/>
      <c r="M21" s="1"/>
      <c r="N21" s="62" t="str">
        <f t="shared" si="0"/>
        <v/>
      </c>
    </row>
    <row r="22" spans="1:14" ht="18" customHeight="1">
      <c r="A22" s="45">
        <f>A21+1</f>
        <v>8</v>
      </c>
      <c r="B22" s="41">
        <v>3</v>
      </c>
      <c r="C22" s="182"/>
      <c r="D22" s="182"/>
      <c r="E22" s="182"/>
      <c r="F22" s="182"/>
      <c r="G22" s="182"/>
      <c r="H22" s="182"/>
      <c r="I22" s="182"/>
      <c r="J22" s="182"/>
      <c r="K22" s="182"/>
      <c r="L22" s="182"/>
      <c r="M22" s="1"/>
      <c r="N22" s="62" t="str">
        <f t="shared" si="0"/>
        <v/>
      </c>
    </row>
    <row r="23" spans="1:14" ht="18" customHeight="1">
      <c r="A23" s="45">
        <f>A22+1</f>
        <v>9</v>
      </c>
      <c r="B23" s="41" t="s">
        <v>57</v>
      </c>
      <c r="C23" s="54" t="str">
        <f t="shared" ref="C23:L23" si="3">IF(C20&lt;&gt;"",SUM(C20:C22)/COUNT(C20:C22),"")</f>
        <v/>
      </c>
      <c r="D23" s="54" t="str">
        <f t="shared" si="3"/>
        <v/>
      </c>
      <c r="E23" s="54" t="str">
        <f t="shared" si="3"/>
        <v/>
      </c>
      <c r="F23" s="54" t="str">
        <f t="shared" si="3"/>
        <v/>
      </c>
      <c r="G23" s="54" t="str">
        <f t="shared" si="3"/>
        <v/>
      </c>
      <c r="H23" s="54" t="str">
        <f t="shared" si="3"/>
        <v/>
      </c>
      <c r="I23" s="54" t="str">
        <f t="shared" si="3"/>
        <v/>
      </c>
      <c r="J23" s="54" t="str">
        <f t="shared" si="3"/>
        <v/>
      </c>
      <c r="K23" s="54" t="str">
        <f t="shared" si="3"/>
        <v/>
      </c>
      <c r="L23" s="54" t="str">
        <f t="shared" si="3"/>
        <v/>
      </c>
      <c r="M23" s="119" t="s">
        <v>65</v>
      </c>
      <c r="N23" s="62" t="str">
        <f t="shared" si="0"/>
        <v/>
      </c>
    </row>
    <row r="24" spans="1:14" ht="18" customHeight="1" thickBot="1">
      <c r="A24" s="46">
        <f>A23+1</f>
        <v>10</v>
      </c>
      <c r="B24" s="47" t="s">
        <v>19</v>
      </c>
      <c r="C24" s="59" t="str">
        <f t="shared" ref="C24:L24" si="4">IF(C20&lt;&gt;"",MAX(C20:C22)-MIN(C20:C22),"")</f>
        <v/>
      </c>
      <c r="D24" s="59" t="str">
        <f t="shared" si="4"/>
        <v/>
      </c>
      <c r="E24" s="59" t="str">
        <f t="shared" si="4"/>
        <v/>
      </c>
      <c r="F24" s="59" t="str">
        <f t="shared" si="4"/>
        <v/>
      </c>
      <c r="G24" s="59" t="str">
        <f t="shared" si="4"/>
        <v/>
      </c>
      <c r="H24" s="59" t="str">
        <f t="shared" si="4"/>
        <v/>
      </c>
      <c r="I24" s="59" t="str">
        <f t="shared" si="4"/>
        <v/>
      </c>
      <c r="J24" s="59" t="str">
        <f t="shared" si="4"/>
        <v/>
      </c>
      <c r="K24" s="59" t="str">
        <f t="shared" si="4"/>
        <v/>
      </c>
      <c r="L24" s="59" t="str">
        <f t="shared" si="4"/>
        <v/>
      </c>
      <c r="M24" s="120" t="s">
        <v>66</v>
      </c>
      <c r="N24" s="62" t="str">
        <f t="shared" si="0"/>
        <v/>
      </c>
    </row>
    <row r="25" spans="1:14" ht="18" customHeight="1">
      <c r="A25" s="42" t="s">
        <v>69</v>
      </c>
      <c r="B25" s="43">
        <v>1</v>
      </c>
      <c r="C25" s="181"/>
      <c r="D25" s="181"/>
      <c r="E25" s="181"/>
      <c r="F25" s="181"/>
      <c r="G25" s="181"/>
      <c r="H25" s="181"/>
      <c r="I25" s="181"/>
      <c r="J25" s="181"/>
      <c r="K25" s="181"/>
      <c r="L25" s="181"/>
      <c r="M25" s="50"/>
      <c r="N25" s="61" t="str">
        <f t="shared" si="0"/>
        <v/>
      </c>
    </row>
    <row r="26" spans="1:14" ht="18" customHeight="1">
      <c r="A26" s="45">
        <v>12</v>
      </c>
      <c r="B26" s="40">
        <v>2</v>
      </c>
      <c r="C26" s="109"/>
      <c r="D26" s="109"/>
      <c r="E26" s="109"/>
      <c r="F26" s="109"/>
      <c r="G26" s="109"/>
      <c r="H26" s="109"/>
      <c r="I26" s="109"/>
      <c r="J26" s="109"/>
      <c r="K26" s="109"/>
      <c r="L26" s="109"/>
      <c r="M26" s="1"/>
      <c r="N26" s="62" t="str">
        <f t="shared" si="0"/>
        <v/>
      </c>
    </row>
    <row r="27" spans="1:14" ht="18" customHeight="1">
      <c r="A27" s="45">
        <f>A26+1</f>
        <v>13</v>
      </c>
      <c r="B27" s="41">
        <v>3</v>
      </c>
      <c r="C27" s="182"/>
      <c r="D27" s="182"/>
      <c r="E27" s="182"/>
      <c r="F27" s="182"/>
      <c r="G27" s="182"/>
      <c r="H27" s="182"/>
      <c r="I27" s="182"/>
      <c r="J27" s="182"/>
      <c r="K27" s="182"/>
      <c r="L27" s="182"/>
      <c r="M27" s="1"/>
      <c r="N27" s="62" t="str">
        <f t="shared" si="0"/>
        <v/>
      </c>
    </row>
    <row r="28" spans="1:14" ht="18" customHeight="1">
      <c r="A28" s="45">
        <f>A27+1</f>
        <v>14</v>
      </c>
      <c r="B28" s="41" t="s">
        <v>57</v>
      </c>
      <c r="C28" s="54" t="str">
        <f t="shared" ref="C28:L28" si="5">IF(C25&lt;&gt;"",SUM(C25:C27)/COUNT(C25:C27),"")</f>
        <v/>
      </c>
      <c r="D28" s="54" t="str">
        <f t="shared" si="5"/>
        <v/>
      </c>
      <c r="E28" s="54" t="str">
        <f t="shared" si="5"/>
        <v/>
      </c>
      <c r="F28" s="54" t="str">
        <f t="shared" si="5"/>
        <v/>
      </c>
      <c r="G28" s="54" t="str">
        <f t="shared" si="5"/>
        <v/>
      </c>
      <c r="H28" s="54" t="str">
        <f t="shared" si="5"/>
        <v/>
      </c>
      <c r="I28" s="54" t="str">
        <f t="shared" si="5"/>
        <v/>
      </c>
      <c r="J28" s="54" t="str">
        <f t="shared" si="5"/>
        <v/>
      </c>
      <c r="K28" s="54" t="str">
        <f t="shared" si="5"/>
        <v/>
      </c>
      <c r="L28" s="54" t="str">
        <f t="shared" si="5"/>
        <v/>
      </c>
      <c r="M28" s="119" t="s">
        <v>71</v>
      </c>
      <c r="N28" s="62" t="str">
        <f t="shared" si="0"/>
        <v/>
      </c>
    </row>
    <row r="29" spans="1:14" ht="18" customHeight="1" thickBot="1">
      <c r="A29" s="46">
        <f>A28+1</f>
        <v>15</v>
      </c>
      <c r="B29" s="47" t="s">
        <v>19</v>
      </c>
      <c r="C29" s="59" t="str">
        <f t="shared" ref="C29:L29" si="6">IF(C25&lt;&gt;"",MAX(C25:C27)-MIN(C25:C27),"")</f>
        <v/>
      </c>
      <c r="D29" s="59" t="str">
        <f t="shared" si="6"/>
        <v/>
      </c>
      <c r="E29" s="59" t="str">
        <f t="shared" si="6"/>
        <v/>
      </c>
      <c r="F29" s="59" t="str">
        <f t="shared" si="6"/>
        <v/>
      </c>
      <c r="G29" s="59" t="str">
        <f t="shared" si="6"/>
        <v/>
      </c>
      <c r="H29" s="59" t="str">
        <f t="shared" si="6"/>
        <v/>
      </c>
      <c r="I29" s="59" t="str">
        <f t="shared" si="6"/>
        <v/>
      </c>
      <c r="J29" s="59" t="str">
        <f t="shared" si="6"/>
        <v/>
      </c>
      <c r="K29" s="59" t="str">
        <f t="shared" si="6"/>
        <v/>
      </c>
      <c r="L29" s="59" t="str">
        <f t="shared" si="6"/>
        <v/>
      </c>
      <c r="M29" s="120" t="s">
        <v>74</v>
      </c>
      <c r="N29" s="137" t="str">
        <f t="shared" si="0"/>
        <v/>
      </c>
    </row>
    <row r="30" spans="1:14" ht="15">
      <c r="A30" s="55" t="s">
        <v>75</v>
      </c>
      <c r="B30" s="17"/>
      <c r="C30" s="60"/>
      <c r="D30" s="60"/>
      <c r="E30" s="60"/>
      <c r="F30" s="60"/>
      <c r="G30" s="60"/>
      <c r="H30" s="60"/>
      <c r="I30" s="60"/>
      <c r="J30" s="60"/>
      <c r="K30" s="60"/>
      <c r="L30" s="60"/>
      <c r="M30" s="121" t="s">
        <v>76</v>
      </c>
      <c r="N30" s="63" t="str">
        <f>IF(C15&lt;&gt;"",AVERAGE(C31:L31),"")</f>
        <v/>
      </c>
    </row>
    <row r="31" spans="1:14" ht="16.5" thickBot="1">
      <c r="A31" s="56" t="s">
        <v>621</v>
      </c>
      <c r="B31" s="25"/>
      <c r="C31" s="70" t="str">
        <f>IF(C18&lt;&gt;"",SUM(C18,C23,C28)/COUNT(C18,C23,C28),"")</f>
        <v/>
      </c>
      <c r="D31" s="70" t="str">
        <f t="shared" ref="D31:L31" si="7">IF(D18&lt;&gt;"",SUM(D18,D23,D28)/COUNT(D18,D23,D28),"")</f>
        <v/>
      </c>
      <c r="E31" s="70" t="str">
        <f t="shared" si="7"/>
        <v/>
      </c>
      <c r="F31" s="70" t="str">
        <f t="shared" si="7"/>
        <v/>
      </c>
      <c r="G31" s="70" t="str">
        <f t="shared" si="7"/>
        <v/>
      </c>
      <c r="H31" s="70" t="str">
        <f t="shared" si="7"/>
        <v/>
      </c>
      <c r="I31" s="70" t="str">
        <f t="shared" si="7"/>
        <v/>
      </c>
      <c r="J31" s="70" t="str">
        <f t="shared" si="7"/>
        <v/>
      </c>
      <c r="K31" s="70" t="str">
        <f t="shared" si="7"/>
        <v/>
      </c>
      <c r="L31" s="70" t="str">
        <f t="shared" si="7"/>
        <v/>
      </c>
      <c r="M31" s="48" t="s">
        <v>99</v>
      </c>
      <c r="N31" s="64" t="str">
        <f>IF(C15&lt;&gt;"",MAX(C31:L31)-MIN(C31:L31),"")</f>
        <v/>
      </c>
    </row>
    <row r="34" spans="1:19">
      <c r="A34" t="s">
        <v>260</v>
      </c>
      <c r="B34" t="s">
        <v>351</v>
      </c>
    </row>
    <row r="41" spans="1:19" ht="7.5" customHeight="1"/>
    <row r="45" spans="1:19" ht="15.75">
      <c r="Q45" s="33" t="s">
        <v>132</v>
      </c>
      <c r="S45" s="194">
        <f>IF(COUNT(C15:C17)=3,1.023,1.88)</f>
        <v>1.88</v>
      </c>
    </row>
    <row r="46" spans="1:19">
      <c r="Q46" t="s">
        <v>350</v>
      </c>
      <c r="S46" s="140" t="e">
        <f>AVERAGE(N19,N24,N29)</f>
        <v>#DIV/0!</v>
      </c>
    </row>
    <row r="49" spans="2:26">
      <c r="P49" t="s">
        <v>268</v>
      </c>
    </row>
    <row r="50" spans="2:26">
      <c r="Q50" s="34">
        <v>1</v>
      </c>
      <c r="R50" s="34">
        <v>2</v>
      </c>
      <c r="S50" s="34">
        <v>3</v>
      </c>
      <c r="T50" s="34">
        <v>4</v>
      </c>
      <c r="U50" s="34">
        <v>5</v>
      </c>
      <c r="V50" s="34">
        <v>6</v>
      </c>
      <c r="W50" s="34">
        <v>7</v>
      </c>
      <c r="X50" s="34">
        <v>8</v>
      </c>
      <c r="Y50" s="34">
        <v>9</v>
      </c>
      <c r="Z50" s="34">
        <v>10</v>
      </c>
    </row>
    <row r="51" spans="2:26">
      <c r="P51" s="16" t="s">
        <v>79</v>
      </c>
      <c r="Q51" s="16" t="e">
        <f>N30+S45*S46</f>
        <v>#VALUE!</v>
      </c>
      <c r="R51" s="16" t="e">
        <f>$Q$51</f>
        <v>#VALUE!</v>
      </c>
      <c r="S51" s="16" t="e">
        <f t="shared" ref="S51:Z51" si="8">$Q$51</f>
        <v>#VALUE!</v>
      </c>
      <c r="T51" s="16" t="e">
        <f t="shared" si="8"/>
        <v>#VALUE!</v>
      </c>
      <c r="U51" s="16" t="e">
        <f t="shared" si="8"/>
        <v>#VALUE!</v>
      </c>
      <c r="V51" s="16" t="e">
        <f t="shared" si="8"/>
        <v>#VALUE!</v>
      </c>
      <c r="W51" s="16" t="e">
        <f t="shared" si="8"/>
        <v>#VALUE!</v>
      </c>
      <c r="X51" s="16" t="e">
        <f t="shared" si="8"/>
        <v>#VALUE!</v>
      </c>
      <c r="Y51" s="16" t="e">
        <f t="shared" si="8"/>
        <v>#VALUE!</v>
      </c>
      <c r="Z51" s="16" t="e">
        <f t="shared" si="8"/>
        <v>#VALUE!</v>
      </c>
    </row>
    <row r="52" spans="2:26">
      <c r="P52" s="16" t="s">
        <v>80</v>
      </c>
      <c r="Q52" s="16" t="e">
        <f>N30-S45*S46</f>
        <v>#VALUE!</v>
      </c>
      <c r="R52" s="16" t="e">
        <f>$Q$52</f>
        <v>#VALUE!</v>
      </c>
      <c r="S52" s="16" t="e">
        <f t="shared" ref="S52:Z52" si="9">$Q$52</f>
        <v>#VALUE!</v>
      </c>
      <c r="T52" s="16" t="e">
        <f t="shared" si="9"/>
        <v>#VALUE!</v>
      </c>
      <c r="U52" s="16" t="e">
        <f t="shared" si="9"/>
        <v>#VALUE!</v>
      </c>
      <c r="V52" s="16" t="e">
        <f t="shared" si="9"/>
        <v>#VALUE!</v>
      </c>
      <c r="W52" s="16" t="e">
        <f t="shared" si="9"/>
        <v>#VALUE!</v>
      </c>
      <c r="X52" s="16" t="e">
        <f t="shared" si="9"/>
        <v>#VALUE!</v>
      </c>
      <c r="Y52" s="16" t="e">
        <f t="shared" si="9"/>
        <v>#VALUE!</v>
      </c>
      <c r="Z52" s="16" t="e">
        <f t="shared" si="9"/>
        <v>#VALUE!</v>
      </c>
    </row>
    <row r="53" spans="2:26">
      <c r="P53" s="16" t="s">
        <v>516</v>
      </c>
      <c r="Q53" s="138" t="e">
        <f>IF(F11=3,2.58*(N19+N24+N29)/J11,3.27*(N19+N24+N29)/3)</f>
        <v>#VALUE!</v>
      </c>
      <c r="R53" s="139" t="e">
        <f>$Q$53</f>
        <v>#VALUE!</v>
      </c>
      <c r="S53" s="139" t="e">
        <f t="shared" ref="S53:Z53" si="10">$Q$53</f>
        <v>#VALUE!</v>
      </c>
      <c r="T53" s="139" t="e">
        <f t="shared" si="10"/>
        <v>#VALUE!</v>
      </c>
      <c r="U53" s="139" t="e">
        <f t="shared" si="10"/>
        <v>#VALUE!</v>
      </c>
      <c r="V53" s="139" t="e">
        <f t="shared" si="10"/>
        <v>#VALUE!</v>
      </c>
      <c r="W53" s="139" t="e">
        <f t="shared" si="10"/>
        <v>#VALUE!</v>
      </c>
      <c r="X53" s="139" t="e">
        <f t="shared" si="10"/>
        <v>#VALUE!</v>
      </c>
      <c r="Y53" s="139" t="e">
        <f t="shared" si="10"/>
        <v>#VALUE!</v>
      </c>
      <c r="Z53" s="139" t="e">
        <f t="shared" si="10"/>
        <v>#VALUE!</v>
      </c>
    </row>
    <row r="64" spans="2:26">
      <c r="B64" t="s">
        <v>267</v>
      </c>
      <c r="D64" s="1"/>
      <c r="E64" s="1"/>
      <c r="F64" s="1"/>
      <c r="G64" s="1"/>
      <c r="H64" s="1"/>
      <c r="I64" s="1"/>
      <c r="J64" s="1"/>
      <c r="K64" s="1"/>
      <c r="L64" s="1"/>
      <c r="M64" s="1"/>
    </row>
    <row r="65" spans="4:13">
      <c r="D65" s="23"/>
      <c r="E65" s="23"/>
      <c r="F65" s="23"/>
      <c r="G65" s="23"/>
      <c r="H65" s="23"/>
      <c r="I65" s="23"/>
      <c r="J65" s="23"/>
      <c r="K65" s="23"/>
      <c r="L65" s="23"/>
      <c r="M65" s="23"/>
    </row>
    <row r="66" spans="4:13" ht="6.75" customHeight="1"/>
    <row r="67" spans="4:13" ht="6.75" customHeight="1"/>
    <row r="86" spans="2:46">
      <c r="B86" t="s">
        <v>267</v>
      </c>
      <c r="D86" s="1"/>
      <c r="E86" s="1"/>
      <c r="F86" s="1"/>
      <c r="G86" s="1"/>
      <c r="H86" s="1"/>
      <c r="I86" s="1"/>
      <c r="J86" s="1"/>
      <c r="K86" s="1"/>
      <c r="L86" s="1"/>
      <c r="M86" s="1"/>
    </row>
    <row r="87" spans="2:46" ht="3" customHeight="1">
      <c r="D87" s="23"/>
      <c r="E87" s="23"/>
      <c r="F87" s="23"/>
      <c r="G87" s="23"/>
      <c r="H87" s="23"/>
      <c r="I87" s="23"/>
      <c r="J87" s="23"/>
      <c r="K87" s="23"/>
      <c r="L87" s="23"/>
      <c r="M87" s="23"/>
    </row>
    <row r="89" spans="2:46">
      <c r="P89" t="s">
        <v>269</v>
      </c>
    </row>
    <row r="90" spans="2:46">
      <c r="Q90" t="s">
        <v>270</v>
      </c>
      <c r="AA90" t="s">
        <v>274</v>
      </c>
      <c r="AK90" t="s">
        <v>272</v>
      </c>
    </row>
    <row r="91" spans="2:46">
      <c r="Q91" s="37">
        <v>1</v>
      </c>
      <c r="R91" s="37">
        <v>2</v>
      </c>
      <c r="S91" s="37">
        <v>3</v>
      </c>
      <c r="T91" s="37">
        <v>4</v>
      </c>
      <c r="U91" s="37">
        <v>5</v>
      </c>
      <c r="V91" s="37">
        <v>6</v>
      </c>
      <c r="W91" s="37">
        <v>7</v>
      </c>
      <c r="X91" s="37">
        <v>8</v>
      </c>
      <c r="Y91" s="37">
        <v>9</v>
      </c>
      <c r="Z91" s="37">
        <v>10</v>
      </c>
      <c r="AA91" s="37">
        <v>1</v>
      </c>
      <c r="AB91" s="37">
        <v>2</v>
      </c>
      <c r="AC91" s="37">
        <v>3</v>
      </c>
      <c r="AD91" s="37">
        <v>4</v>
      </c>
      <c r="AE91" s="37">
        <v>5</v>
      </c>
      <c r="AF91" s="37">
        <v>6</v>
      </c>
      <c r="AG91" s="37">
        <v>7</v>
      </c>
      <c r="AH91" s="37">
        <v>8</v>
      </c>
      <c r="AI91" s="37">
        <v>9</v>
      </c>
      <c r="AJ91" s="37">
        <v>10</v>
      </c>
      <c r="AK91" s="37">
        <v>1</v>
      </c>
      <c r="AL91" s="37">
        <v>2</v>
      </c>
      <c r="AM91" s="37">
        <v>3</v>
      </c>
      <c r="AN91" s="37">
        <v>4</v>
      </c>
      <c r="AO91" s="37">
        <v>5</v>
      </c>
      <c r="AP91" s="37">
        <v>6</v>
      </c>
      <c r="AQ91" s="37">
        <v>7</v>
      </c>
      <c r="AR91" s="37">
        <v>8</v>
      </c>
      <c r="AS91" s="37">
        <v>9</v>
      </c>
      <c r="AT91" s="37">
        <v>10</v>
      </c>
    </row>
    <row r="92" spans="2:46">
      <c r="P92" t="s">
        <v>271</v>
      </c>
      <c r="Q92" s="58" t="str">
        <f t="shared" ref="Q92:Z93" si="11">C18</f>
        <v/>
      </c>
      <c r="R92" s="58" t="str">
        <f t="shared" si="11"/>
        <v/>
      </c>
      <c r="S92" s="58" t="str">
        <f t="shared" si="11"/>
        <v/>
      </c>
      <c r="T92" s="58" t="str">
        <f t="shared" si="11"/>
        <v/>
      </c>
      <c r="U92" s="58" t="str">
        <f t="shared" si="11"/>
        <v/>
      </c>
      <c r="V92" s="58" t="str">
        <f t="shared" si="11"/>
        <v/>
      </c>
      <c r="W92" s="58" t="str">
        <f t="shared" si="11"/>
        <v/>
      </c>
      <c r="X92" s="58" t="str">
        <f t="shared" si="11"/>
        <v/>
      </c>
      <c r="Y92" s="58" t="str">
        <f t="shared" si="11"/>
        <v/>
      </c>
      <c r="Z92" s="58" t="str">
        <f t="shared" si="11"/>
        <v/>
      </c>
      <c r="AA92" s="58" t="str">
        <f t="shared" ref="AA92:AJ93" si="12">C23</f>
        <v/>
      </c>
      <c r="AB92" s="58" t="str">
        <f t="shared" si="12"/>
        <v/>
      </c>
      <c r="AC92" s="58" t="str">
        <f t="shared" si="12"/>
        <v/>
      </c>
      <c r="AD92" s="58" t="str">
        <f t="shared" si="12"/>
        <v/>
      </c>
      <c r="AE92" s="58" t="str">
        <f t="shared" si="12"/>
        <v/>
      </c>
      <c r="AF92" s="58" t="str">
        <f t="shared" si="12"/>
        <v/>
      </c>
      <c r="AG92" s="58" t="str">
        <f t="shared" si="12"/>
        <v/>
      </c>
      <c r="AH92" s="58" t="str">
        <f t="shared" si="12"/>
        <v/>
      </c>
      <c r="AI92" s="58" t="str">
        <f t="shared" si="12"/>
        <v/>
      </c>
      <c r="AJ92" s="58" t="str">
        <f t="shared" si="12"/>
        <v/>
      </c>
      <c r="AK92" s="58" t="str">
        <f t="shared" ref="AK92:AT93" si="13">C28</f>
        <v/>
      </c>
      <c r="AL92" s="58" t="str">
        <f t="shared" si="13"/>
        <v/>
      </c>
      <c r="AM92" s="58" t="str">
        <f t="shared" si="13"/>
        <v/>
      </c>
      <c r="AN92" s="58" t="str">
        <f t="shared" si="13"/>
        <v/>
      </c>
      <c r="AO92" s="58" t="str">
        <f t="shared" si="13"/>
        <v/>
      </c>
      <c r="AP92" s="58" t="str">
        <f t="shared" si="13"/>
        <v/>
      </c>
      <c r="AQ92" s="58" t="str">
        <f t="shared" si="13"/>
        <v/>
      </c>
      <c r="AR92" s="58" t="str">
        <f t="shared" si="13"/>
        <v/>
      </c>
      <c r="AS92" s="58" t="str">
        <f t="shared" si="13"/>
        <v/>
      </c>
      <c r="AT92" s="58" t="str">
        <f t="shared" si="13"/>
        <v/>
      </c>
    </row>
    <row r="93" spans="2:46">
      <c r="P93" t="s">
        <v>273</v>
      </c>
      <c r="Q93" s="58" t="str">
        <f t="shared" si="11"/>
        <v/>
      </c>
      <c r="R93" s="58" t="str">
        <f t="shared" si="11"/>
        <v/>
      </c>
      <c r="S93" s="58" t="str">
        <f t="shared" si="11"/>
        <v/>
      </c>
      <c r="T93" s="58" t="str">
        <f t="shared" si="11"/>
        <v/>
      </c>
      <c r="U93" s="58" t="str">
        <f t="shared" si="11"/>
        <v/>
      </c>
      <c r="V93" s="58" t="str">
        <f t="shared" si="11"/>
        <v/>
      </c>
      <c r="W93" s="58" t="str">
        <f t="shared" si="11"/>
        <v/>
      </c>
      <c r="X93" s="58" t="str">
        <f t="shared" si="11"/>
        <v/>
      </c>
      <c r="Y93" s="58" t="str">
        <f t="shared" si="11"/>
        <v/>
      </c>
      <c r="Z93" s="58" t="str">
        <f t="shared" si="11"/>
        <v/>
      </c>
      <c r="AA93" s="58" t="str">
        <f t="shared" si="12"/>
        <v/>
      </c>
      <c r="AB93" s="58" t="str">
        <f t="shared" si="12"/>
        <v/>
      </c>
      <c r="AC93" s="58" t="str">
        <f t="shared" si="12"/>
        <v/>
      </c>
      <c r="AD93" s="58" t="str">
        <f t="shared" si="12"/>
        <v/>
      </c>
      <c r="AE93" s="58" t="str">
        <f t="shared" si="12"/>
        <v/>
      </c>
      <c r="AF93" s="58" t="str">
        <f t="shared" si="12"/>
        <v/>
      </c>
      <c r="AG93" s="58" t="str">
        <f t="shared" si="12"/>
        <v/>
      </c>
      <c r="AH93" s="58" t="str">
        <f t="shared" si="12"/>
        <v/>
      </c>
      <c r="AI93" s="58" t="str">
        <f t="shared" si="12"/>
        <v/>
      </c>
      <c r="AJ93" s="58" t="str">
        <f t="shared" si="12"/>
        <v/>
      </c>
      <c r="AK93" s="58" t="str">
        <f t="shared" si="13"/>
        <v/>
      </c>
      <c r="AL93" s="58" t="str">
        <f t="shared" si="13"/>
        <v/>
      </c>
      <c r="AM93" s="58" t="str">
        <f t="shared" si="13"/>
        <v/>
      </c>
      <c r="AN93" s="58" t="str">
        <f t="shared" si="13"/>
        <v/>
      </c>
      <c r="AO93" s="58" t="str">
        <f t="shared" si="13"/>
        <v/>
      </c>
      <c r="AP93" s="58" t="str">
        <f t="shared" si="13"/>
        <v/>
      </c>
      <c r="AQ93" s="58" t="str">
        <f t="shared" si="13"/>
        <v/>
      </c>
      <c r="AR93" s="58" t="str">
        <f t="shared" si="13"/>
        <v/>
      </c>
      <c r="AS93" s="58" t="str">
        <f t="shared" si="13"/>
        <v/>
      </c>
      <c r="AT93" s="58" t="str">
        <f t="shared" si="13"/>
        <v/>
      </c>
    </row>
    <row r="94" spans="2:46">
      <c r="P94" t="s">
        <v>275</v>
      </c>
      <c r="AA94" t="e">
        <f t="shared" ref="AA94:AJ95" si="14">Q51</f>
        <v>#VALUE!</v>
      </c>
      <c r="AB94" t="e">
        <f t="shared" si="14"/>
        <v>#VALUE!</v>
      </c>
      <c r="AC94" t="e">
        <f t="shared" si="14"/>
        <v>#VALUE!</v>
      </c>
      <c r="AD94" t="e">
        <f t="shared" si="14"/>
        <v>#VALUE!</v>
      </c>
      <c r="AE94" t="e">
        <f t="shared" si="14"/>
        <v>#VALUE!</v>
      </c>
      <c r="AF94" t="e">
        <f t="shared" si="14"/>
        <v>#VALUE!</v>
      </c>
      <c r="AG94" t="e">
        <f t="shared" si="14"/>
        <v>#VALUE!</v>
      </c>
      <c r="AH94" t="e">
        <f t="shared" si="14"/>
        <v>#VALUE!</v>
      </c>
      <c r="AI94" t="e">
        <f t="shared" si="14"/>
        <v>#VALUE!</v>
      </c>
      <c r="AJ94" t="e">
        <f t="shared" si="14"/>
        <v>#VALUE!</v>
      </c>
    </row>
    <row r="95" spans="2:46">
      <c r="P95" t="s">
        <v>276</v>
      </c>
      <c r="AA95" t="e">
        <f t="shared" si="14"/>
        <v>#VALUE!</v>
      </c>
      <c r="AB95" t="e">
        <f t="shared" si="14"/>
        <v>#VALUE!</v>
      </c>
      <c r="AC95" t="e">
        <f t="shared" si="14"/>
        <v>#VALUE!</v>
      </c>
      <c r="AD95" t="e">
        <f t="shared" si="14"/>
        <v>#VALUE!</v>
      </c>
      <c r="AE95" t="e">
        <f t="shared" si="14"/>
        <v>#VALUE!</v>
      </c>
      <c r="AF95" t="e">
        <f t="shared" si="14"/>
        <v>#VALUE!</v>
      </c>
      <c r="AG95" t="e">
        <f t="shared" si="14"/>
        <v>#VALUE!</v>
      </c>
      <c r="AH95" t="e">
        <f t="shared" si="14"/>
        <v>#VALUE!</v>
      </c>
      <c r="AI95" t="e">
        <f t="shared" si="14"/>
        <v>#VALUE!</v>
      </c>
      <c r="AJ95" t="e">
        <f t="shared" si="14"/>
        <v>#VALUE!</v>
      </c>
    </row>
    <row r="96" spans="2:46">
      <c r="P96" t="s">
        <v>277</v>
      </c>
      <c r="AK96" t="e">
        <f t="shared" ref="AK96:AT97" si="15">AA94</f>
        <v>#VALUE!</v>
      </c>
      <c r="AL96" t="e">
        <f t="shared" si="15"/>
        <v>#VALUE!</v>
      </c>
      <c r="AM96" t="e">
        <f t="shared" si="15"/>
        <v>#VALUE!</v>
      </c>
      <c r="AN96" t="e">
        <f t="shared" si="15"/>
        <v>#VALUE!</v>
      </c>
      <c r="AO96" t="e">
        <f t="shared" si="15"/>
        <v>#VALUE!</v>
      </c>
      <c r="AP96" t="e">
        <f t="shared" si="15"/>
        <v>#VALUE!</v>
      </c>
      <c r="AQ96" t="e">
        <f t="shared" si="15"/>
        <v>#VALUE!</v>
      </c>
      <c r="AR96" t="e">
        <f t="shared" si="15"/>
        <v>#VALUE!</v>
      </c>
      <c r="AS96" t="e">
        <f t="shared" si="15"/>
        <v>#VALUE!</v>
      </c>
      <c r="AT96" t="e">
        <f t="shared" si="15"/>
        <v>#VALUE!</v>
      </c>
    </row>
    <row r="97" spans="2:46">
      <c r="P97" t="s">
        <v>278</v>
      </c>
      <c r="AK97" t="e">
        <f t="shared" si="15"/>
        <v>#VALUE!</v>
      </c>
      <c r="AL97" t="e">
        <f t="shared" si="15"/>
        <v>#VALUE!</v>
      </c>
      <c r="AM97" t="e">
        <f t="shared" si="15"/>
        <v>#VALUE!</v>
      </c>
      <c r="AN97" t="e">
        <f t="shared" si="15"/>
        <v>#VALUE!</v>
      </c>
      <c r="AO97" t="e">
        <f t="shared" si="15"/>
        <v>#VALUE!</v>
      </c>
      <c r="AP97" t="e">
        <f t="shared" si="15"/>
        <v>#VALUE!</v>
      </c>
      <c r="AQ97" t="e">
        <f t="shared" si="15"/>
        <v>#VALUE!</v>
      </c>
      <c r="AR97" t="e">
        <f t="shared" si="15"/>
        <v>#VALUE!</v>
      </c>
      <c r="AS97" t="e">
        <f t="shared" si="15"/>
        <v>#VALUE!</v>
      </c>
      <c r="AT97" t="e">
        <f t="shared" si="15"/>
        <v>#VALUE!</v>
      </c>
    </row>
    <row r="98" spans="2:46">
      <c r="P98" t="s">
        <v>279</v>
      </c>
      <c r="AA98" s="140" t="e">
        <f>Q53</f>
        <v>#VALUE!</v>
      </c>
      <c r="AB98" s="140" t="e">
        <f>AA98</f>
        <v>#VALUE!</v>
      </c>
      <c r="AC98" s="140" t="e">
        <f t="shared" ref="AC98:AJ98" si="16">AB98</f>
        <v>#VALUE!</v>
      </c>
      <c r="AD98" s="140" t="e">
        <f t="shared" si="16"/>
        <v>#VALUE!</v>
      </c>
      <c r="AE98" s="140" t="e">
        <f t="shared" si="16"/>
        <v>#VALUE!</v>
      </c>
      <c r="AF98" s="140" t="e">
        <f t="shared" si="16"/>
        <v>#VALUE!</v>
      </c>
      <c r="AG98" s="140" t="e">
        <f t="shared" si="16"/>
        <v>#VALUE!</v>
      </c>
      <c r="AH98" s="140" t="e">
        <f t="shared" si="16"/>
        <v>#VALUE!</v>
      </c>
      <c r="AI98" s="140" t="e">
        <f t="shared" si="16"/>
        <v>#VALUE!</v>
      </c>
      <c r="AJ98" s="140" t="e">
        <f t="shared" si="16"/>
        <v>#VALUE!</v>
      </c>
    </row>
    <row r="99" spans="2:46">
      <c r="P99" t="s">
        <v>280</v>
      </c>
      <c r="AK99" s="140" t="e">
        <f>AA98</f>
        <v>#VALUE!</v>
      </c>
      <c r="AL99" s="140" t="e">
        <f t="shared" ref="AL99:AT99" si="17">AB98</f>
        <v>#VALUE!</v>
      </c>
      <c r="AM99" s="140" t="e">
        <f t="shared" si="17"/>
        <v>#VALUE!</v>
      </c>
      <c r="AN99" s="140" t="e">
        <f t="shared" si="17"/>
        <v>#VALUE!</v>
      </c>
      <c r="AO99" s="140" t="e">
        <f t="shared" si="17"/>
        <v>#VALUE!</v>
      </c>
      <c r="AP99" s="140" t="e">
        <f t="shared" si="17"/>
        <v>#VALUE!</v>
      </c>
      <c r="AQ99" s="140" t="e">
        <f t="shared" si="17"/>
        <v>#VALUE!</v>
      </c>
      <c r="AR99" s="140" t="e">
        <f t="shared" si="17"/>
        <v>#VALUE!</v>
      </c>
      <c r="AS99" s="140" t="e">
        <f t="shared" si="17"/>
        <v>#VALUE!</v>
      </c>
      <c r="AT99" s="140" t="e">
        <f t="shared" si="17"/>
        <v>#VALUE!</v>
      </c>
    </row>
    <row r="106" spans="2:46">
      <c r="B106" t="s">
        <v>267</v>
      </c>
      <c r="D106" s="1"/>
      <c r="E106" s="1"/>
      <c r="F106" s="1"/>
      <c r="G106" s="1"/>
      <c r="H106" s="1"/>
      <c r="I106" s="1"/>
      <c r="J106" s="1"/>
      <c r="K106" s="1"/>
      <c r="L106" s="1"/>
      <c r="M106" s="1"/>
    </row>
    <row r="107" spans="2:46">
      <c r="D107" s="23"/>
      <c r="E107" s="23"/>
      <c r="F107" s="23"/>
      <c r="G107" s="23"/>
      <c r="H107" s="23"/>
      <c r="I107" s="23"/>
      <c r="J107" s="23"/>
      <c r="K107" s="23"/>
      <c r="L107" s="23"/>
      <c r="M107" s="23"/>
    </row>
    <row r="108" spans="2:46" ht="5.25" customHeight="1"/>
    <row r="128" spans="2:13">
      <c r="B128" t="s">
        <v>267</v>
      </c>
      <c r="D128" s="1"/>
      <c r="E128" s="1"/>
      <c r="F128" s="1"/>
      <c r="G128" s="1"/>
      <c r="H128" s="1"/>
      <c r="I128" s="1"/>
      <c r="J128" s="1"/>
      <c r="K128" s="1"/>
      <c r="L128" s="1"/>
      <c r="M128" s="1"/>
    </row>
    <row r="129" spans="4:26">
      <c r="D129" s="23"/>
      <c r="E129" s="23"/>
      <c r="F129" s="23"/>
      <c r="G129" s="23"/>
      <c r="H129" s="23"/>
      <c r="I129" s="23"/>
      <c r="J129" s="23"/>
      <c r="K129" s="23"/>
      <c r="L129" s="23"/>
      <c r="M129" s="23"/>
    </row>
    <row r="137" spans="4:26">
      <c r="Q137" s="58"/>
      <c r="R137" s="58"/>
      <c r="S137" s="58"/>
      <c r="T137" s="58"/>
      <c r="U137" s="58"/>
      <c r="V137" s="58"/>
      <c r="W137" s="58"/>
      <c r="X137" s="58"/>
      <c r="Y137" s="58"/>
      <c r="Z137" s="58"/>
    </row>
    <row r="138" spans="4:26">
      <c r="Q138" s="58"/>
      <c r="R138" s="58"/>
      <c r="S138" s="58"/>
      <c r="T138" s="58"/>
      <c r="U138" s="58"/>
      <c r="V138" s="58"/>
      <c r="W138" s="58"/>
      <c r="X138" s="58"/>
      <c r="Y138" s="58"/>
      <c r="Z138" s="58"/>
    </row>
    <row r="139" spans="4:26">
      <c r="Q139" s="58"/>
      <c r="R139" s="58"/>
      <c r="S139" s="58"/>
      <c r="T139" s="58"/>
      <c r="U139" s="58"/>
      <c r="V139" s="58"/>
      <c r="W139" s="58"/>
      <c r="X139" s="58"/>
      <c r="Y139" s="58"/>
      <c r="Z139" s="58"/>
    </row>
    <row r="140" spans="4:26">
      <c r="Q140" s="58"/>
      <c r="R140" s="58"/>
      <c r="S140" s="58"/>
      <c r="T140" s="58"/>
      <c r="U140" s="58"/>
      <c r="V140" s="58"/>
      <c r="W140" s="58"/>
      <c r="X140" s="58"/>
      <c r="Y140" s="58"/>
      <c r="Z140" s="58"/>
    </row>
    <row r="141" spans="4:26">
      <c r="Q141" s="58"/>
      <c r="R141" s="58"/>
      <c r="S141" s="58"/>
      <c r="T141" s="58"/>
      <c r="U141" s="58"/>
      <c r="V141" s="58"/>
      <c r="W141" s="58"/>
      <c r="X141" s="58"/>
      <c r="Y141" s="58"/>
      <c r="Z141" s="58"/>
    </row>
    <row r="142" spans="4:26">
      <c r="Q142" s="58"/>
      <c r="R142" s="58"/>
      <c r="S142" s="58"/>
      <c r="T142" s="58"/>
      <c r="U142" s="58"/>
      <c r="V142" s="58"/>
      <c r="W142" s="58"/>
      <c r="X142" s="58"/>
      <c r="Y142" s="58"/>
      <c r="Z142" s="58"/>
    </row>
    <row r="143" spans="4:26">
      <c r="Q143" s="99"/>
      <c r="R143" s="99"/>
      <c r="S143" s="99"/>
      <c r="T143" s="99"/>
      <c r="U143" s="99"/>
      <c r="V143" s="99"/>
      <c r="W143" s="99"/>
      <c r="X143" s="99"/>
      <c r="Y143" s="99"/>
      <c r="Z143" s="99"/>
    </row>
    <row r="158" spans="2:13">
      <c r="B158" t="s">
        <v>267</v>
      </c>
      <c r="D158" s="1"/>
      <c r="E158" s="1"/>
      <c r="F158" s="1"/>
      <c r="G158" s="1"/>
      <c r="H158" s="1"/>
      <c r="I158" s="1"/>
      <c r="J158" s="1"/>
      <c r="K158" s="1"/>
      <c r="L158" s="1"/>
      <c r="M158" s="1"/>
    </row>
    <row r="159" spans="2:13">
      <c r="D159" s="23"/>
      <c r="E159" s="23"/>
      <c r="F159" s="23"/>
      <c r="G159" s="23"/>
      <c r="H159" s="23"/>
      <c r="I159" s="23"/>
      <c r="J159" s="23"/>
      <c r="K159" s="23"/>
      <c r="L159" s="23"/>
      <c r="M159" s="23"/>
    </row>
    <row r="171" spans="16:61">
      <c r="P171" t="s">
        <v>269</v>
      </c>
    </row>
    <row r="172" spans="16:61">
      <c r="U172" t="s">
        <v>290</v>
      </c>
      <c r="AD172" t="s">
        <v>294</v>
      </c>
      <c r="AM172" t="s">
        <v>295</v>
      </c>
      <c r="AV172" t="s">
        <v>296</v>
      </c>
      <c r="BE172" t="s">
        <v>297</v>
      </c>
    </row>
    <row r="173" spans="16:61">
      <c r="Q173" t="s">
        <v>281</v>
      </c>
      <c r="R173" t="s">
        <v>282</v>
      </c>
      <c r="S173" t="s">
        <v>283</v>
      </c>
      <c r="T173" t="s">
        <v>284</v>
      </c>
      <c r="U173" t="s">
        <v>285</v>
      </c>
      <c r="V173" t="s">
        <v>286</v>
      </c>
      <c r="W173" t="s">
        <v>287</v>
      </c>
      <c r="X173" t="s">
        <v>288</v>
      </c>
      <c r="Y173" t="s">
        <v>289</v>
      </c>
      <c r="Z173" t="s">
        <v>281</v>
      </c>
      <c r="AA173" t="s">
        <v>282</v>
      </c>
      <c r="AB173" t="s">
        <v>283</v>
      </c>
      <c r="AC173" t="s">
        <v>284</v>
      </c>
      <c r="AD173" t="s">
        <v>285</v>
      </c>
      <c r="AE173" t="s">
        <v>286</v>
      </c>
      <c r="AF173" t="s">
        <v>287</v>
      </c>
      <c r="AG173" t="s">
        <v>288</v>
      </c>
      <c r="AH173" t="s">
        <v>289</v>
      </c>
      <c r="AI173" t="s">
        <v>281</v>
      </c>
      <c r="AJ173" t="s">
        <v>282</v>
      </c>
      <c r="AK173" t="s">
        <v>283</v>
      </c>
      <c r="AL173" t="s">
        <v>284</v>
      </c>
      <c r="AM173" t="s">
        <v>285</v>
      </c>
      <c r="AN173" t="s">
        <v>286</v>
      </c>
      <c r="AO173" t="s">
        <v>287</v>
      </c>
      <c r="AP173" t="s">
        <v>288</v>
      </c>
      <c r="AQ173" t="s">
        <v>289</v>
      </c>
      <c r="AR173" t="s">
        <v>281</v>
      </c>
      <c r="AS173" t="s">
        <v>282</v>
      </c>
      <c r="AT173" t="s">
        <v>283</v>
      </c>
      <c r="AU173" t="s">
        <v>284</v>
      </c>
      <c r="AV173" t="s">
        <v>285</v>
      </c>
      <c r="AW173" t="s">
        <v>286</v>
      </c>
      <c r="AX173" t="s">
        <v>287</v>
      </c>
      <c r="AY173" t="s">
        <v>288</v>
      </c>
      <c r="AZ173" t="s">
        <v>289</v>
      </c>
      <c r="BA173" t="s">
        <v>281</v>
      </c>
      <c r="BB173" t="s">
        <v>282</v>
      </c>
      <c r="BC173" t="s">
        <v>283</v>
      </c>
      <c r="BD173" t="s">
        <v>284</v>
      </c>
      <c r="BE173" t="s">
        <v>285</v>
      </c>
      <c r="BF173" t="s">
        <v>286</v>
      </c>
      <c r="BG173" t="s">
        <v>287</v>
      </c>
      <c r="BH173" t="s">
        <v>288</v>
      </c>
      <c r="BI173" t="s">
        <v>289</v>
      </c>
    </row>
    <row r="174" spans="16:61">
      <c r="P174" s="2" t="s">
        <v>291</v>
      </c>
      <c r="Q174" s="58">
        <f>C15</f>
        <v>0</v>
      </c>
      <c r="R174" s="58">
        <f>C16</f>
        <v>0</v>
      </c>
      <c r="S174" s="58">
        <f>C17</f>
        <v>0</v>
      </c>
      <c r="Z174" s="58">
        <f>D15</f>
        <v>0</v>
      </c>
      <c r="AA174" s="58">
        <f>D16</f>
        <v>0</v>
      </c>
      <c r="AB174" s="58">
        <f>D17</f>
        <v>0</v>
      </c>
      <c r="AI174" s="58">
        <f>E15</f>
        <v>0</v>
      </c>
      <c r="AJ174" s="58">
        <f>E16</f>
        <v>0</v>
      </c>
      <c r="AK174" s="58">
        <f>E17</f>
        <v>0</v>
      </c>
      <c r="AR174" s="58">
        <f>F15</f>
        <v>0</v>
      </c>
      <c r="AS174" s="58">
        <f>F16</f>
        <v>0</v>
      </c>
      <c r="AT174" s="58">
        <f>F17</f>
        <v>0</v>
      </c>
      <c r="BA174" s="58">
        <f>G15</f>
        <v>0</v>
      </c>
      <c r="BB174" s="58">
        <f>G16</f>
        <v>0</v>
      </c>
      <c r="BC174" s="58">
        <f>G17</f>
        <v>0</v>
      </c>
    </row>
    <row r="175" spans="16:61">
      <c r="P175" s="2" t="s">
        <v>292</v>
      </c>
      <c r="T175" s="58" t="str">
        <f>IF(C20&lt;&gt;"",C20,"")</f>
        <v/>
      </c>
      <c r="U175" s="58" t="str">
        <f>IF(C21&lt;&gt;"",C21,"")</f>
        <v/>
      </c>
      <c r="V175" s="58" t="str">
        <f>IF(C22&lt;&gt;"",C22,"")</f>
        <v/>
      </c>
      <c r="AC175" s="58" t="str">
        <f>IF(D20&lt;&gt;"",D20,"")</f>
        <v/>
      </c>
      <c r="AD175" s="58" t="str">
        <f>IF(D21&lt;&gt;"",D21,"")</f>
        <v/>
      </c>
      <c r="AE175" s="58" t="str">
        <f>IF(D22&lt;&gt;"",D22,"")</f>
        <v/>
      </c>
      <c r="AL175" s="58" t="str">
        <f>IF(E20&lt;&gt;"",E20,"")</f>
        <v/>
      </c>
      <c r="AM175" s="58" t="str">
        <f>IF(E21&lt;&gt;"",E21,"")</f>
        <v/>
      </c>
      <c r="AN175" s="58" t="str">
        <f>IF(E22&lt;&gt;"",E22,"")</f>
        <v/>
      </c>
      <c r="AU175" s="58" t="str">
        <f>IF(F20&lt;&gt;"",F20,"")</f>
        <v/>
      </c>
      <c r="AV175" s="58" t="str">
        <f>IF(F21&lt;&gt;"",F21,"")</f>
        <v/>
      </c>
      <c r="AW175" s="58" t="str">
        <f>IF(F22&lt;&gt;"",F22,"")</f>
        <v/>
      </c>
      <c r="BD175" s="58" t="str">
        <f>IF(G20&lt;&gt;"",G20,"")</f>
        <v/>
      </c>
      <c r="BE175" s="58" t="str">
        <f>IF(G21&lt;&gt;"",G21,"")</f>
        <v/>
      </c>
      <c r="BF175" s="58" t="str">
        <f>IF(G22&lt;&gt;"",G22,"")</f>
        <v/>
      </c>
    </row>
    <row r="176" spans="16:61">
      <c r="P176" s="2" t="s">
        <v>293</v>
      </c>
      <c r="W176" s="58" t="str">
        <f>IF(C25&lt;&gt;"",C25,"")</f>
        <v/>
      </c>
      <c r="X176" s="58" t="str">
        <f>IF(C26&lt;&gt;"",C26,"")</f>
        <v/>
      </c>
      <c r="Y176" s="58" t="str">
        <f>IF(C27&lt;&gt;"",C27,"")</f>
        <v/>
      </c>
      <c r="AF176" s="58" t="str">
        <f>IF(D25&lt;&gt;"",D25,"")</f>
        <v/>
      </c>
      <c r="AG176" s="58" t="str">
        <f>IF(D26&lt;&gt;"",D26,"")</f>
        <v/>
      </c>
      <c r="AH176" s="58" t="str">
        <f>IF(D27&lt;&gt;"",D27,"")</f>
        <v/>
      </c>
      <c r="AO176" s="58" t="str">
        <f>IF(E25&lt;&gt;"",E25,"")</f>
        <v/>
      </c>
      <c r="AP176" s="58" t="str">
        <f>IF(E26&lt;&gt;"",E26,"")</f>
        <v/>
      </c>
      <c r="AQ176" s="58" t="str">
        <f>IF(E27&lt;&gt;"",E27,"")</f>
        <v/>
      </c>
      <c r="AX176" s="58" t="str">
        <f>IF(F25&lt;&gt;"",F25,"")</f>
        <v/>
      </c>
      <c r="AY176" s="58" t="str">
        <f>IF(F26&lt;&gt;"",F26,"")</f>
        <v/>
      </c>
      <c r="AZ176" s="58" t="str">
        <f>IF(F27&lt;&gt;"",F27,"")</f>
        <v/>
      </c>
      <c r="BG176" s="58" t="str">
        <f>IF(G25&lt;&gt;"",G25,"")</f>
        <v/>
      </c>
      <c r="BH176" s="58" t="str">
        <f>IF(G26&lt;&gt;"",G26,"")</f>
        <v/>
      </c>
      <c r="BI176" s="58" t="str">
        <f>IF(G27&lt;&gt;"",G27,"")</f>
        <v/>
      </c>
    </row>
    <row r="178" spans="16:61">
      <c r="U178" t="s">
        <v>298</v>
      </c>
      <c r="AD178" t="s">
        <v>299</v>
      </c>
      <c r="AM178" t="s">
        <v>300</v>
      </c>
      <c r="AV178" t="s">
        <v>301</v>
      </c>
      <c r="BE178" t="s">
        <v>302</v>
      </c>
    </row>
    <row r="179" spans="16:61">
      <c r="Q179" t="s">
        <v>281</v>
      </c>
      <c r="R179" t="s">
        <v>282</v>
      </c>
      <c r="S179" t="s">
        <v>283</v>
      </c>
      <c r="T179" t="s">
        <v>284</v>
      </c>
      <c r="U179" t="s">
        <v>285</v>
      </c>
      <c r="V179" t="s">
        <v>286</v>
      </c>
      <c r="W179" t="s">
        <v>287</v>
      </c>
      <c r="X179" t="s">
        <v>288</v>
      </c>
      <c r="Y179" t="s">
        <v>289</v>
      </c>
      <c r="Z179" t="s">
        <v>281</v>
      </c>
      <c r="AA179" t="s">
        <v>282</v>
      </c>
      <c r="AB179" t="s">
        <v>283</v>
      </c>
      <c r="AC179" t="s">
        <v>284</v>
      </c>
      <c r="AD179" t="s">
        <v>285</v>
      </c>
      <c r="AE179" t="s">
        <v>286</v>
      </c>
      <c r="AF179" t="s">
        <v>287</v>
      </c>
      <c r="AG179" t="s">
        <v>288</v>
      </c>
      <c r="AH179" t="s">
        <v>289</v>
      </c>
      <c r="AI179" t="s">
        <v>281</v>
      </c>
      <c r="AJ179" t="s">
        <v>282</v>
      </c>
      <c r="AK179" t="s">
        <v>283</v>
      </c>
      <c r="AL179" t="s">
        <v>284</v>
      </c>
      <c r="AM179" t="s">
        <v>285</v>
      </c>
      <c r="AN179" t="s">
        <v>286</v>
      </c>
      <c r="AO179" t="s">
        <v>287</v>
      </c>
      <c r="AP179" t="s">
        <v>288</v>
      </c>
      <c r="AQ179" t="s">
        <v>289</v>
      </c>
      <c r="AR179" t="s">
        <v>281</v>
      </c>
      <c r="AS179" t="s">
        <v>282</v>
      </c>
      <c r="AT179" t="s">
        <v>283</v>
      </c>
      <c r="AU179" t="s">
        <v>284</v>
      </c>
      <c r="AV179" t="s">
        <v>285</v>
      </c>
      <c r="AW179" t="s">
        <v>286</v>
      </c>
      <c r="AX179" t="s">
        <v>287</v>
      </c>
      <c r="AY179" t="s">
        <v>288</v>
      </c>
      <c r="AZ179" t="s">
        <v>289</v>
      </c>
      <c r="BA179" t="s">
        <v>281</v>
      </c>
      <c r="BB179" t="s">
        <v>282</v>
      </c>
      <c r="BC179" t="s">
        <v>283</v>
      </c>
      <c r="BD179" t="s">
        <v>284</v>
      </c>
      <c r="BE179" t="s">
        <v>285</v>
      </c>
      <c r="BF179" t="s">
        <v>286</v>
      </c>
      <c r="BG179" t="s">
        <v>287</v>
      </c>
      <c r="BH179" t="s">
        <v>288</v>
      </c>
      <c r="BI179" t="s">
        <v>289</v>
      </c>
    </row>
    <row r="180" spans="16:61">
      <c r="P180" s="2" t="s">
        <v>291</v>
      </c>
      <c r="Q180" s="58">
        <f>H15</f>
        <v>0</v>
      </c>
      <c r="R180" s="58">
        <f>H16</f>
        <v>0</v>
      </c>
      <c r="S180" s="58">
        <f>H17</f>
        <v>0</v>
      </c>
      <c r="Z180" s="58">
        <f>I15</f>
        <v>0</v>
      </c>
      <c r="AA180" s="58">
        <f>I16</f>
        <v>0</v>
      </c>
      <c r="AB180" s="58">
        <f>I17</f>
        <v>0</v>
      </c>
      <c r="AI180" s="58">
        <f>J15</f>
        <v>0</v>
      </c>
      <c r="AJ180" s="58">
        <f>J16</f>
        <v>0</v>
      </c>
      <c r="AK180" s="58">
        <f>J17</f>
        <v>0</v>
      </c>
      <c r="AR180" s="58">
        <f>K15</f>
        <v>0</v>
      </c>
      <c r="AS180" s="58">
        <f>K16</f>
        <v>0</v>
      </c>
      <c r="AT180" s="58">
        <f>K17</f>
        <v>0</v>
      </c>
      <c r="BA180" s="58">
        <f>L15</f>
        <v>0</v>
      </c>
      <c r="BB180" s="58">
        <f>L16</f>
        <v>0</v>
      </c>
      <c r="BC180" s="58">
        <f>L17</f>
        <v>0</v>
      </c>
    </row>
    <row r="181" spans="16:61">
      <c r="P181" s="2" t="s">
        <v>292</v>
      </c>
      <c r="T181" s="58" t="str">
        <f>IF(H20&lt;&gt;"",H20,"")</f>
        <v/>
      </c>
      <c r="U181" s="58" t="str">
        <f>IF(H21&lt;&gt;"",H21,"")</f>
        <v/>
      </c>
      <c r="V181" s="58" t="str">
        <f>IF(H22&lt;&gt;"",H22,"")</f>
        <v/>
      </c>
      <c r="AC181" s="58" t="str">
        <f>IF(I20&lt;&gt;"",I20,"")</f>
        <v/>
      </c>
      <c r="AD181" s="58" t="str">
        <f>IF(I21&lt;&gt;"",I21,"")</f>
        <v/>
      </c>
      <c r="AE181" s="58" t="str">
        <f>IF(I22&lt;&gt;"",I22,"")</f>
        <v/>
      </c>
      <c r="AL181" s="58" t="str">
        <f>IF(J20&lt;&gt;"",J20,"")</f>
        <v/>
      </c>
      <c r="AM181" s="58" t="str">
        <f>IF(J21&lt;&gt;"",J21,"")</f>
        <v/>
      </c>
      <c r="AN181" s="58" t="str">
        <f>IF(J22&lt;&gt;"",J22,"")</f>
        <v/>
      </c>
      <c r="AU181" s="58" t="str">
        <f>IF(K20&lt;&gt;"",K20,"")</f>
        <v/>
      </c>
      <c r="AV181" s="58" t="str">
        <f>IF(K21&lt;&gt;"",K21,"")</f>
        <v/>
      </c>
      <c r="AW181" s="58" t="str">
        <f>IF(K22&lt;&gt;"",K22,"")</f>
        <v/>
      </c>
      <c r="BD181" s="58" t="str">
        <f>IF(L20&lt;&gt;"",L20,"")</f>
        <v/>
      </c>
      <c r="BE181" s="58" t="str">
        <f>IF(L21&lt;&gt;"",L21,"")</f>
        <v/>
      </c>
      <c r="BF181" s="58" t="str">
        <f>IF(L22&lt;&gt;"",L22,"")</f>
        <v/>
      </c>
    </row>
    <row r="182" spans="16:61">
      <c r="P182" s="2" t="s">
        <v>293</v>
      </c>
      <c r="W182" s="58" t="str">
        <f>IF(H25&lt;&gt;"",H25,"")</f>
        <v/>
      </c>
      <c r="X182" s="58" t="str">
        <f>IF(H26&lt;&gt;"",H26,"")</f>
        <v/>
      </c>
      <c r="Y182" s="58" t="str">
        <f>IF(H27&lt;&gt;"",H27,"")</f>
        <v/>
      </c>
      <c r="AF182" s="58" t="str">
        <f>IF(I25&lt;&gt;"",I25,"")</f>
        <v/>
      </c>
      <c r="AG182" s="58" t="str">
        <f>IF(I26&lt;&gt;"",I26,"")</f>
        <v/>
      </c>
      <c r="AH182" s="58" t="str">
        <f>IF(I27&lt;&gt;"",I27,"")</f>
        <v/>
      </c>
      <c r="AO182" s="58" t="str">
        <f>IF(J25&lt;&gt;"",J25,"")</f>
        <v/>
      </c>
      <c r="AP182" s="58" t="str">
        <f>IF(J26&lt;&gt;"",J26,"")</f>
        <v/>
      </c>
      <c r="AQ182" s="58" t="str">
        <f>IF(J27&lt;&gt;"",J27,"")</f>
        <v/>
      </c>
      <c r="AX182" s="58" t="str">
        <f>IF(K25&lt;&gt;"",K25,"")</f>
        <v/>
      </c>
      <c r="AY182" s="58" t="str">
        <f>IF(K26&lt;&gt;"",K26,"")</f>
        <v/>
      </c>
      <c r="AZ182" s="58" t="str">
        <f>IF(K27&lt;&gt;"",K27,"")</f>
        <v/>
      </c>
      <c r="BG182" s="58" t="str">
        <f>IF(L25&lt;&gt;"",L25,"")</f>
        <v/>
      </c>
      <c r="BH182" s="58" t="str">
        <f>IF(L26&lt;&gt;"",L26,"")</f>
        <v/>
      </c>
      <c r="BI182" s="58" t="str">
        <f>IF(L27&lt;&gt;"",L27,"")</f>
        <v/>
      </c>
    </row>
    <row r="209" spans="2:27">
      <c r="B209" t="s">
        <v>267</v>
      </c>
      <c r="D209" s="1"/>
      <c r="E209" s="1"/>
      <c r="F209" s="1"/>
      <c r="G209" s="1"/>
      <c r="H209" s="1"/>
      <c r="I209" s="1"/>
      <c r="J209" s="1"/>
      <c r="K209" s="1"/>
      <c r="L209" s="1"/>
      <c r="M209" s="1"/>
    </row>
    <row r="210" spans="2:27">
      <c r="D210" s="23"/>
      <c r="E210" s="23"/>
      <c r="F210" s="23"/>
      <c r="G210" s="23"/>
      <c r="H210" s="23"/>
      <c r="I210" s="23"/>
      <c r="J210" s="23"/>
      <c r="K210" s="23"/>
      <c r="L210" s="23"/>
      <c r="M210" s="23"/>
    </row>
    <row r="213" spans="2:27">
      <c r="P213" t="s">
        <v>269</v>
      </c>
    </row>
    <row r="214" spans="2:27">
      <c r="R214" s="37">
        <v>1</v>
      </c>
      <c r="S214" s="37">
        <v>2</v>
      </c>
      <c r="T214" s="37">
        <v>3</v>
      </c>
      <c r="U214" s="37">
        <v>4</v>
      </c>
      <c r="V214" s="37">
        <v>5</v>
      </c>
      <c r="W214" s="37">
        <v>6</v>
      </c>
      <c r="X214" s="37">
        <v>7</v>
      </c>
      <c r="Y214" s="37">
        <v>8</v>
      </c>
      <c r="Z214" s="37">
        <v>9</v>
      </c>
      <c r="AA214" s="37">
        <v>10</v>
      </c>
    </row>
    <row r="215" spans="2:27">
      <c r="P215" t="s">
        <v>270</v>
      </c>
      <c r="Q215" t="s">
        <v>303</v>
      </c>
      <c r="R215" s="58" t="str">
        <f t="shared" ref="R215:AA215" si="18">IF(C15&lt;&gt;"",MAX(C15:C17),"")</f>
        <v/>
      </c>
      <c r="S215" s="58" t="str">
        <f t="shared" si="18"/>
        <v/>
      </c>
      <c r="T215" s="58" t="str">
        <f t="shared" si="18"/>
        <v/>
      </c>
      <c r="U215" s="58" t="str">
        <f t="shared" si="18"/>
        <v/>
      </c>
      <c r="V215" s="58" t="str">
        <f t="shared" si="18"/>
        <v/>
      </c>
      <c r="W215" s="58" t="str">
        <f t="shared" si="18"/>
        <v/>
      </c>
      <c r="X215" s="58" t="str">
        <f t="shared" si="18"/>
        <v/>
      </c>
      <c r="Y215" s="58" t="str">
        <f t="shared" si="18"/>
        <v/>
      </c>
      <c r="Z215" s="58" t="str">
        <f t="shared" si="18"/>
        <v/>
      </c>
      <c r="AA215" s="58" t="str">
        <f t="shared" si="18"/>
        <v/>
      </c>
    </row>
    <row r="216" spans="2:27">
      <c r="Q216" s="36" t="s">
        <v>305</v>
      </c>
      <c r="R216" s="141" t="str">
        <f t="shared" ref="R216:AA216" si="19">IF(C18&lt;&gt;"",R215-C18,"")</f>
        <v/>
      </c>
      <c r="S216" s="141" t="str">
        <f t="shared" si="19"/>
        <v/>
      </c>
      <c r="T216" s="141" t="str">
        <f t="shared" si="19"/>
        <v/>
      </c>
      <c r="U216" s="141" t="str">
        <f t="shared" si="19"/>
        <v/>
      </c>
      <c r="V216" s="141" t="str">
        <f t="shared" si="19"/>
        <v/>
      </c>
      <c r="W216" s="141" t="str">
        <f t="shared" si="19"/>
        <v/>
      </c>
      <c r="X216" s="141" t="str">
        <f t="shared" si="19"/>
        <v/>
      </c>
      <c r="Y216" s="141" t="str">
        <f t="shared" si="19"/>
        <v/>
      </c>
      <c r="Z216" s="141" t="str">
        <f t="shared" si="19"/>
        <v/>
      </c>
      <c r="AA216" s="141" t="str">
        <f t="shared" si="19"/>
        <v/>
      </c>
    </row>
    <row r="217" spans="2:27">
      <c r="Q217" t="s">
        <v>304</v>
      </c>
      <c r="R217" s="58" t="str">
        <f t="shared" ref="R217:AA217" si="20">IF(C15&lt;&gt;"",MIN(C15:C17),"")</f>
        <v/>
      </c>
      <c r="S217" s="58" t="str">
        <f t="shared" si="20"/>
        <v/>
      </c>
      <c r="T217" s="58" t="str">
        <f t="shared" si="20"/>
        <v/>
      </c>
      <c r="U217" s="58" t="str">
        <f t="shared" si="20"/>
        <v/>
      </c>
      <c r="V217" s="58" t="str">
        <f t="shared" si="20"/>
        <v/>
      </c>
      <c r="W217" s="58" t="str">
        <f t="shared" si="20"/>
        <v/>
      </c>
      <c r="X217" s="58" t="str">
        <f t="shared" si="20"/>
        <v/>
      </c>
      <c r="Y217" s="58" t="str">
        <f t="shared" si="20"/>
        <v/>
      </c>
      <c r="Z217" s="58" t="str">
        <f t="shared" si="20"/>
        <v/>
      </c>
      <c r="AA217" s="58" t="str">
        <f t="shared" si="20"/>
        <v/>
      </c>
    </row>
    <row r="218" spans="2:27">
      <c r="Q218" s="36" t="s">
        <v>306</v>
      </c>
      <c r="R218" s="141" t="str">
        <f t="shared" ref="R218:AA218" si="21">IF(C18&lt;&gt;"",C18-R217,"")</f>
        <v/>
      </c>
      <c r="S218" s="141" t="str">
        <f t="shared" si="21"/>
        <v/>
      </c>
      <c r="T218" s="141" t="str">
        <f t="shared" si="21"/>
        <v/>
      </c>
      <c r="U218" s="141" t="str">
        <f t="shared" si="21"/>
        <v/>
      </c>
      <c r="V218" s="141" t="str">
        <f t="shared" si="21"/>
        <v/>
      </c>
      <c r="W218" s="141" t="str">
        <f t="shared" si="21"/>
        <v/>
      </c>
      <c r="X218" s="141" t="str">
        <f t="shared" si="21"/>
        <v/>
      </c>
      <c r="Y218" s="141" t="str">
        <f t="shared" si="21"/>
        <v/>
      </c>
      <c r="Z218" s="141" t="str">
        <f t="shared" si="21"/>
        <v/>
      </c>
      <c r="AA218" s="141" t="str">
        <f t="shared" si="21"/>
        <v/>
      </c>
    </row>
    <row r="219" spans="2:27">
      <c r="P219" t="s">
        <v>274</v>
      </c>
      <c r="Q219" t="s">
        <v>303</v>
      </c>
      <c r="R219" s="58" t="str">
        <f t="shared" ref="R219:AA219" si="22">IF(C20&lt;&gt;"",MAX(C20:C22),"")</f>
        <v/>
      </c>
      <c r="S219" s="58" t="str">
        <f t="shared" si="22"/>
        <v/>
      </c>
      <c r="T219" s="58" t="str">
        <f t="shared" si="22"/>
        <v/>
      </c>
      <c r="U219" s="58" t="str">
        <f t="shared" si="22"/>
        <v/>
      </c>
      <c r="V219" s="58" t="str">
        <f t="shared" si="22"/>
        <v/>
      </c>
      <c r="W219" s="58" t="str">
        <f t="shared" si="22"/>
        <v/>
      </c>
      <c r="X219" s="58" t="str">
        <f t="shared" si="22"/>
        <v/>
      </c>
      <c r="Y219" s="58" t="str">
        <f t="shared" si="22"/>
        <v/>
      </c>
      <c r="Z219" s="58" t="str">
        <f t="shared" si="22"/>
        <v/>
      </c>
      <c r="AA219" s="58" t="str">
        <f t="shared" si="22"/>
        <v/>
      </c>
    </row>
    <row r="220" spans="2:27">
      <c r="Q220" s="36" t="s">
        <v>305</v>
      </c>
      <c r="R220" s="141" t="str">
        <f t="shared" ref="R220:AA220" si="23">IF(C23&lt;&gt;"",R219-C23,"")</f>
        <v/>
      </c>
      <c r="S220" s="141" t="str">
        <f t="shared" si="23"/>
        <v/>
      </c>
      <c r="T220" s="141" t="str">
        <f t="shared" si="23"/>
        <v/>
      </c>
      <c r="U220" s="141" t="str">
        <f t="shared" si="23"/>
        <v/>
      </c>
      <c r="V220" s="141" t="str">
        <f t="shared" si="23"/>
        <v/>
      </c>
      <c r="W220" s="141" t="str">
        <f t="shared" si="23"/>
        <v/>
      </c>
      <c r="X220" s="141" t="str">
        <f t="shared" si="23"/>
        <v/>
      </c>
      <c r="Y220" s="141" t="str">
        <f t="shared" si="23"/>
        <v/>
      </c>
      <c r="Z220" s="141" t="str">
        <f t="shared" si="23"/>
        <v/>
      </c>
      <c r="AA220" s="141" t="str">
        <f t="shared" si="23"/>
        <v/>
      </c>
    </row>
    <row r="221" spans="2:27">
      <c r="Q221" t="s">
        <v>304</v>
      </c>
      <c r="R221" s="58" t="str">
        <f t="shared" ref="R221:AA221" si="24">IF(C20&lt;&gt;"",MIN(C20:C22),"")</f>
        <v/>
      </c>
      <c r="S221" s="58" t="str">
        <f t="shared" si="24"/>
        <v/>
      </c>
      <c r="T221" s="58" t="str">
        <f t="shared" si="24"/>
        <v/>
      </c>
      <c r="U221" s="58" t="str">
        <f t="shared" si="24"/>
        <v/>
      </c>
      <c r="V221" s="58" t="str">
        <f t="shared" si="24"/>
        <v/>
      </c>
      <c r="W221" s="58" t="str">
        <f t="shared" si="24"/>
        <v/>
      </c>
      <c r="X221" s="58" t="str">
        <f t="shared" si="24"/>
        <v/>
      </c>
      <c r="Y221" s="58" t="str">
        <f t="shared" si="24"/>
        <v/>
      </c>
      <c r="Z221" s="58" t="str">
        <f t="shared" si="24"/>
        <v/>
      </c>
      <c r="AA221" s="58" t="str">
        <f t="shared" si="24"/>
        <v/>
      </c>
    </row>
    <row r="222" spans="2:27">
      <c r="Q222" s="36" t="s">
        <v>306</v>
      </c>
      <c r="R222" s="141" t="str">
        <f t="shared" ref="R222:AA222" si="25">IF(C23&lt;&gt;"",C23-R221,"")</f>
        <v/>
      </c>
      <c r="S222" s="141" t="str">
        <f t="shared" si="25"/>
        <v/>
      </c>
      <c r="T222" s="141" t="str">
        <f t="shared" si="25"/>
        <v/>
      </c>
      <c r="U222" s="141" t="str">
        <f t="shared" si="25"/>
        <v/>
      </c>
      <c r="V222" s="141" t="str">
        <f t="shared" si="25"/>
        <v/>
      </c>
      <c r="W222" s="141" t="str">
        <f t="shared" si="25"/>
        <v/>
      </c>
      <c r="X222" s="141" t="str">
        <f t="shared" si="25"/>
        <v/>
      </c>
      <c r="Y222" s="141" t="str">
        <f t="shared" si="25"/>
        <v/>
      </c>
      <c r="Z222" s="141" t="str">
        <f t="shared" si="25"/>
        <v/>
      </c>
      <c r="AA222" s="141" t="str">
        <f t="shared" si="25"/>
        <v/>
      </c>
    </row>
    <row r="223" spans="2:27">
      <c r="P223" t="s">
        <v>272</v>
      </c>
      <c r="Q223" t="s">
        <v>303</v>
      </c>
      <c r="R223" s="58" t="str">
        <f t="shared" ref="R223:AA223" si="26">IF(C25&lt;&gt;"",MAX(C25:C27),"")</f>
        <v/>
      </c>
      <c r="S223" s="58" t="str">
        <f t="shared" si="26"/>
        <v/>
      </c>
      <c r="T223" s="58" t="str">
        <f t="shared" si="26"/>
        <v/>
      </c>
      <c r="U223" s="58" t="str">
        <f t="shared" si="26"/>
        <v/>
      </c>
      <c r="V223" s="58" t="str">
        <f t="shared" si="26"/>
        <v/>
      </c>
      <c r="W223" s="58" t="str">
        <f t="shared" si="26"/>
        <v/>
      </c>
      <c r="X223" s="58" t="str">
        <f t="shared" si="26"/>
        <v/>
      </c>
      <c r="Y223" s="58" t="str">
        <f t="shared" si="26"/>
        <v/>
      </c>
      <c r="Z223" s="58" t="str">
        <f t="shared" si="26"/>
        <v/>
      </c>
      <c r="AA223" s="58" t="str">
        <f t="shared" si="26"/>
        <v/>
      </c>
    </row>
    <row r="224" spans="2:27">
      <c r="Q224" s="36" t="s">
        <v>305</v>
      </c>
      <c r="R224" s="141" t="str">
        <f t="shared" ref="R224:AA224" si="27">IF(C28&lt;&gt;"",R223-C28,"")</f>
        <v/>
      </c>
      <c r="S224" s="141" t="str">
        <f t="shared" si="27"/>
        <v/>
      </c>
      <c r="T224" s="141" t="str">
        <f t="shared" si="27"/>
        <v/>
      </c>
      <c r="U224" s="141" t="str">
        <f t="shared" si="27"/>
        <v/>
      </c>
      <c r="V224" s="141" t="str">
        <f t="shared" si="27"/>
        <v/>
      </c>
      <c r="W224" s="141" t="str">
        <f t="shared" si="27"/>
        <v/>
      </c>
      <c r="X224" s="141" t="str">
        <f t="shared" si="27"/>
        <v/>
      </c>
      <c r="Y224" s="141" t="str">
        <f t="shared" si="27"/>
        <v/>
      </c>
      <c r="Z224" s="141" t="str">
        <f t="shared" si="27"/>
        <v/>
      </c>
      <c r="AA224" s="141" t="str">
        <f t="shared" si="27"/>
        <v/>
      </c>
    </row>
    <row r="225" spans="17:27">
      <c r="Q225" t="s">
        <v>304</v>
      </c>
      <c r="R225" s="58" t="str">
        <f t="shared" ref="R225:AA225" si="28">IF(C25&lt;&gt;"",MIN(C25:C27),"")</f>
        <v/>
      </c>
      <c r="S225" s="58" t="str">
        <f t="shared" si="28"/>
        <v/>
      </c>
      <c r="T225" s="58" t="str">
        <f t="shared" si="28"/>
        <v/>
      </c>
      <c r="U225" s="58" t="str">
        <f t="shared" si="28"/>
        <v/>
      </c>
      <c r="V225" s="58" t="str">
        <f t="shared" si="28"/>
        <v/>
      </c>
      <c r="W225" s="58" t="str">
        <f t="shared" si="28"/>
        <v/>
      </c>
      <c r="X225" s="58" t="str">
        <f t="shared" si="28"/>
        <v/>
      </c>
      <c r="Y225" s="58" t="str">
        <f t="shared" si="28"/>
        <v/>
      </c>
      <c r="Z225" s="58" t="str">
        <f t="shared" si="28"/>
        <v/>
      </c>
      <c r="AA225" s="58" t="str">
        <f t="shared" si="28"/>
        <v/>
      </c>
    </row>
    <row r="226" spans="17:27">
      <c r="Q226" s="36" t="s">
        <v>306</v>
      </c>
      <c r="R226" s="141" t="str">
        <f t="shared" ref="R226:AA226" si="29">IF(C28&lt;&gt;"",C28-R225,"")</f>
        <v/>
      </c>
      <c r="S226" s="141" t="str">
        <f t="shared" si="29"/>
        <v/>
      </c>
      <c r="T226" s="141" t="str">
        <f t="shared" si="29"/>
        <v/>
      </c>
      <c r="U226" s="141" t="str">
        <f t="shared" si="29"/>
        <v/>
      </c>
      <c r="V226" s="141" t="str">
        <f t="shared" si="29"/>
        <v/>
      </c>
      <c r="W226" s="141" t="str">
        <f t="shared" si="29"/>
        <v/>
      </c>
      <c r="X226" s="141" t="str">
        <f t="shared" si="29"/>
        <v/>
      </c>
      <c r="Y226" s="141" t="str">
        <f t="shared" si="29"/>
        <v/>
      </c>
      <c r="Z226" s="141" t="str">
        <f t="shared" si="29"/>
        <v/>
      </c>
      <c r="AA226" s="141" t="str">
        <f t="shared" si="29"/>
        <v/>
      </c>
    </row>
    <row r="251" spans="2:57" ht="5.25" customHeight="1"/>
    <row r="252" spans="2:57">
      <c r="B252" t="s">
        <v>267</v>
      </c>
      <c r="D252" s="1"/>
      <c r="E252" s="1"/>
      <c r="F252" s="1"/>
      <c r="G252" s="1"/>
      <c r="H252" s="1"/>
      <c r="I252" s="1"/>
      <c r="J252" s="1"/>
      <c r="K252" s="1"/>
      <c r="L252" s="1"/>
      <c r="M252" s="1"/>
    </row>
    <row r="253" spans="2:57">
      <c r="D253" s="23"/>
      <c r="E253" s="23"/>
      <c r="F253" s="23"/>
      <c r="G253" s="23"/>
      <c r="H253" s="23"/>
      <c r="I253" s="23"/>
      <c r="J253" s="23"/>
      <c r="K253" s="23"/>
      <c r="L253" s="23"/>
      <c r="M253" s="23"/>
    </row>
    <row r="255" spans="2:57">
      <c r="P255" t="s">
        <v>269</v>
      </c>
    </row>
    <row r="256" spans="2:57">
      <c r="U256" t="s">
        <v>290</v>
      </c>
      <c r="AD256" t="s">
        <v>294</v>
      </c>
      <c r="AM256" t="s">
        <v>295</v>
      </c>
      <c r="AV256" t="s">
        <v>296</v>
      </c>
      <c r="BE256" t="s">
        <v>297</v>
      </c>
    </row>
    <row r="257" spans="16:61">
      <c r="Q257" t="s">
        <v>281</v>
      </c>
      <c r="R257" t="s">
        <v>282</v>
      </c>
      <c r="S257" t="s">
        <v>283</v>
      </c>
      <c r="T257" t="s">
        <v>284</v>
      </c>
      <c r="U257" t="s">
        <v>285</v>
      </c>
      <c r="V257" t="s">
        <v>286</v>
      </c>
      <c r="W257" t="s">
        <v>287</v>
      </c>
      <c r="X257" t="s">
        <v>288</v>
      </c>
      <c r="Y257" t="s">
        <v>289</v>
      </c>
      <c r="Z257" t="s">
        <v>281</v>
      </c>
      <c r="AA257" t="s">
        <v>282</v>
      </c>
      <c r="AB257" t="s">
        <v>283</v>
      </c>
      <c r="AC257" t="s">
        <v>284</v>
      </c>
      <c r="AD257" t="s">
        <v>285</v>
      </c>
      <c r="AE257" t="s">
        <v>286</v>
      </c>
      <c r="AF257" t="s">
        <v>287</v>
      </c>
      <c r="AG257" t="s">
        <v>288</v>
      </c>
      <c r="AH257" t="s">
        <v>289</v>
      </c>
      <c r="AI257" t="s">
        <v>281</v>
      </c>
      <c r="AJ257" t="s">
        <v>282</v>
      </c>
      <c r="AK257" t="s">
        <v>283</v>
      </c>
      <c r="AL257" t="s">
        <v>284</v>
      </c>
      <c r="AM257" t="s">
        <v>285</v>
      </c>
      <c r="AN257" t="s">
        <v>286</v>
      </c>
      <c r="AO257" t="s">
        <v>287</v>
      </c>
      <c r="AP257" t="s">
        <v>288</v>
      </c>
      <c r="AQ257" t="s">
        <v>289</v>
      </c>
      <c r="AR257" t="s">
        <v>281</v>
      </c>
      <c r="AS257" t="s">
        <v>282</v>
      </c>
      <c r="AT257" t="s">
        <v>283</v>
      </c>
      <c r="AU257" t="s">
        <v>284</v>
      </c>
      <c r="AV257" t="s">
        <v>285</v>
      </c>
      <c r="AW257" t="s">
        <v>286</v>
      </c>
      <c r="AX257" t="s">
        <v>287</v>
      </c>
      <c r="AY257" t="s">
        <v>288</v>
      </c>
      <c r="AZ257" t="s">
        <v>289</v>
      </c>
      <c r="BA257" t="s">
        <v>281</v>
      </c>
      <c r="BB257" t="s">
        <v>282</v>
      </c>
      <c r="BC257" t="s">
        <v>283</v>
      </c>
      <c r="BD257" t="s">
        <v>284</v>
      </c>
      <c r="BE257" t="s">
        <v>285</v>
      </c>
      <c r="BF257" t="s">
        <v>286</v>
      </c>
      <c r="BG257" t="s">
        <v>287</v>
      </c>
      <c r="BH257" t="s">
        <v>288</v>
      </c>
      <c r="BI257" t="s">
        <v>289</v>
      </c>
    </row>
    <row r="258" spans="16:61">
      <c r="P258" s="2" t="s">
        <v>291</v>
      </c>
      <c r="Q258" s="36" t="str">
        <f>IF(C15&lt;&gt;"",C15-C31,"")</f>
        <v/>
      </c>
      <c r="R258" t="str">
        <f>IF(C16&lt;&gt;"",C16-C31,"")</f>
        <v/>
      </c>
      <c r="S258" t="str">
        <f>IF(C17&lt;&gt;"",C17-C31,"")</f>
        <v/>
      </c>
      <c r="Z258" t="str">
        <f>IF(D15&lt;&gt;"",D15-D31,"")</f>
        <v/>
      </c>
      <c r="AA258" t="str">
        <f>IF(D16&lt;&gt;"",D16-D31,"")</f>
        <v/>
      </c>
      <c r="AB258" t="str">
        <f>IF(D17&lt;&gt;"",D17-D31,"")</f>
        <v/>
      </c>
      <c r="AI258" t="str">
        <f>IF(E15&lt;&gt;"",E15-E31,"")</f>
        <v/>
      </c>
      <c r="AJ258" t="str">
        <f>IF(E16&lt;&gt;"",E16-E31,"")</f>
        <v/>
      </c>
      <c r="AK258" t="str">
        <f>IF(E17&lt;&gt;"",E17-E31,"")</f>
        <v/>
      </c>
      <c r="AR258" t="str">
        <f>IF(F15&lt;&gt;"",F15-F31,"")</f>
        <v/>
      </c>
      <c r="AS258" t="str">
        <f>IF(F16&lt;&gt;"",F16-F31,"")</f>
        <v/>
      </c>
      <c r="AT258" t="str">
        <f>IF(F17&lt;&gt;"",F17-F31,"")</f>
        <v/>
      </c>
      <c r="BA258" t="str">
        <f>IF(G15&lt;&gt;"",G15-G31,"")</f>
        <v/>
      </c>
      <c r="BB258" t="str">
        <f>IF(G16&lt;&gt;"",G16-G31,"")</f>
        <v/>
      </c>
      <c r="BC258" t="str">
        <f>IF(G17&lt;&gt;"",G17-G31,"")</f>
        <v/>
      </c>
    </row>
    <row r="259" spans="16:61">
      <c r="P259" s="2" t="s">
        <v>292</v>
      </c>
      <c r="T259" s="36" t="str">
        <f>IF(C20&lt;&gt;"",C20-C31,"")</f>
        <v/>
      </c>
      <c r="U259" s="36" t="str">
        <f>IF(C21&lt;&gt;"",C21-C31,"")</f>
        <v/>
      </c>
      <c r="V259" s="36" t="str">
        <f>IF(C22&lt;&gt;"",C22-C31,"")</f>
        <v/>
      </c>
      <c r="AC259" s="36" t="str">
        <f>IF(D20&lt;&gt;"",D20-D31,"")</f>
        <v/>
      </c>
      <c r="AD259" s="36" t="str">
        <f>IF(D21&lt;&gt;"",D21-D31,"")</f>
        <v/>
      </c>
      <c r="AE259" s="36" t="str">
        <f>IF(D22&lt;&gt;"",D22-D31,"")</f>
        <v/>
      </c>
      <c r="AL259" s="36" t="str">
        <f>IF(E20&lt;&gt;"",E20-E31,"")</f>
        <v/>
      </c>
      <c r="AM259" s="36" t="str">
        <f>IF(E21&lt;&gt;"",E21-E31,"")</f>
        <v/>
      </c>
      <c r="AN259" s="36" t="str">
        <f>IF(E22&lt;&gt;"",E22-E31,"")</f>
        <v/>
      </c>
      <c r="AU259" s="36" t="str">
        <f>IF(F20&lt;&gt;"",F20-F31,"")</f>
        <v/>
      </c>
      <c r="AV259" s="36" t="str">
        <f>IF(F21&lt;&gt;"",F21-F31,"")</f>
        <v/>
      </c>
      <c r="AW259" s="36" t="str">
        <f>IF(F22&lt;&gt;"",F22-F31,"")</f>
        <v/>
      </c>
      <c r="BD259" s="36" t="str">
        <f>IF(G20&lt;&gt;"",G20-G31,"")</f>
        <v/>
      </c>
      <c r="BE259" s="36" t="str">
        <f>IF(G21&lt;&gt;"",G21-G31,"")</f>
        <v/>
      </c>
      <c r="BF259" s="36" t="str">
        <f>IF(G22&lt;&gt;"",G22-G31,"")</f>
        <v/>
      </c>
    </row>
    <row r="260" spans="16:61">
      <c r="P260" s="2" t="s">
        <v>293</v>
      </c>
      <c r="W260" s="36" t="str">
        <f>IF(C25&lt;&gt;"",C25-C31,"")</f>
        <v/>
      </c>
      <c r="X260" s="36" t="str">
        <f>IF(C26&lt;&gt;"",C26-C31,"")</f>
        <v/>
      </c>
      <c r="Y260" s="36" t="str">
        <f>IF(C27&lt;&gt;"",C27-C31,"")</f>
        <v/>
      </c>
      <c r="AF260" s="36" t="str">
        <f>IF(D25&lt;&gt;"",D25-D31,"")</f>
        <v/>
      </c>
      <c r="AG260" s="36" t="str">
        <f>IF(D26&lt;&gt;"",D26-D31,"")</f>
        <v/>
      </c>
      <c r="AH260" s="36" t="str">
        <f>IF(D27&lt;&gt;"",D27-D31,"")</f>
        <v/>
      </c>
      <c r="AO260" s="36" t="str">
        <f>IF(E25&lt;&gt;"",E25-E31,"")</f>
        <v/>
      </c>
      <c r="AP260" s="36" t="str">
        <f>IF(E26&lt;&gt;"",E26-E31,"")</f>
        <v/>
      </c>
      <c r="AQ260" s="36" t="str">
        <f>IF(E27&lt;&gt;"",E27-E31,"")</f>
        <v/>
      </c>
      <c r="AX260" s="36" t="str">
        <f>IF(F25&lt;&gt;"",F25-F31,"")</f>
        <v/>
      </c>
      <c r="AY260" s="36" t="str">
        <f>IF(F26&lt;&gt;"",F26-F31,"")</f>
        <v/>
      </c>
      <c r="AZ260" s="36" t="str">
        <f>IF(F27&lt;&gt;"",F27-F31,"")</f>
        <v/>
      </c>
      <c r="BG260" s="36" t="str">
        <f>IF(G25&lt;&gt;"",G25-G31,"")</f>
        <v/>
      </c>
      <c r="BH260" s="36" t="str">
        <f>IF(G26&lt;&gt;"",G26-G31,"")</f>
        <v/>
      </c>
      <c r="BI260" s="36" t="str">
        <f>IF(G27&lt;&gt;"",G27-G31,"")</f>
        <v/>
      </c>
    </row>
    <row r="262" spans="16:61">
      <c r="U262" t="s">
        <v>298</v>
      </c>
      <c r="AD262" t="s">
        <v>299</v>
      </c>
      <c r="AM262" t="s">
        <v>300</v>
      </c>
      <c r="AV262" t="s">
        <v>301</v>
      </c>
      <c r="BE262" t="s">
        <v>302</v>
      </c>
    </row>
    <row r="263" spans="16:61">
      <c r="Q263" t="s">
        <v>281</v>
      </c>
      <c r="R263" t="s">
        <v>282</v>
      </c>
      <c r="S263" t="s">
        <v>283</v>
      </c>
      <c r="T263" t="s">
        <v>284</v>
      </c>
      <c r="U263" t="s">
        <v>285</v>
      </c>
      <c r="V263" t="s">
        <v>286</v>
      </c>
      <c r="W263" t="s">
        <v>287</v>
      </c>
      <c r="X263" t="s">
        <v>288</v>
      </c>
      <c r="Y263" t="s">
        <v>289</v>
      </c>
      <c r="Z263" t="s">
        <v>281</v>
      </c>
      <c r="AA263" t="s">
        <v>282</v>
      </c>
      <c r="AB263" t="s">
        <v>283</v>
      </c>
      <c r="AC263" t="s">
        <v>284</v>
      </c>
      <c r="AD263" t="s">
        <v>285</v>
      </c>
      <c r="AE263" t="s">
        <v>286</v>
      </c>
      <c r="AF263" t="s">
        <v>287</v>
      </c>
      <c r="AG263" t="s">
        <v>288</v>
      </c>
      <c r="AH263" t="s">
        <v>289</v>
      </c>
      <c r="AI263" t="s">
        <v>281</v>
      </c>
      <c r="AJ263" t="s">
        <v>282</v>
      </c>
      <c r="AK263" t="s">
        <v>283</v>
      </c>
      <c r="AL263" t="s">
        <v>284</v>
      </c>
      <c r="AM263" t="s">
        <v>285</v>
      </c>
      <c r="AN263" t="s">
        <v>286</v>
      </c>
      <c r="AO263" t="s">
        <v>287</v>
      </c>
      <c r="AP263" t="s">
        <v>288</v>
      </c>
      <c r="AQ263" t="s">
        <v>289</v>
      </c>
      <c r="AR263" t="s">
        <v>281</v>
      </c>
      <c r="AS263" t="s">
        <v>282</v>
      </c>
      <c r="AT263" t="s">
        <v>283</v>
      </c>
      <c r="AU263" t="s">
        <v>284</v>
      </c>
      <c r="AV263" t="s">
        <v>285</v>
      </c>
      <c r="AW263" t="s">
        <v>286</v>
      </c>
      <c r="AX263" t="s">
        <v>287</v>
      </c>
      <c r="AY263" t="s">
        <v>288</v>
      </c>
      <c r="AZ263" t="s">
        <v>289</v>
      </c>
      <c r="BA263" t="s">
        <v>281</v>
      </c>
      <c r="BB263" t="s">
        <v>282</v>
      </c>
      <c r="BC263" t="s">
        <v>283</v>
      </c>
      <c r="BD263" t="s">
        <v>284</v>
      </c>
      <c r="BE263" t="s">
        <v>285</v>
      </c>
      <c r="BF263" t="s">
        <v>286</v>
      </c>
      <c r="BG263" t="s">
        <v>287</v>
      </c>
      <c r="BH263" t="s">
        <v>288</v>
      </c>
      <c r="BI263" t="s">
        <v>289</v>
      </c>
    </row>
    <row r="264" spans="16:61">
      <c r="P264" s="2" t="s">
        <v>291</v>
      </c>
      <c r="Q264" t="str">
        <f>IF(H15&lt;&gt;"",H15-H31,"")</f>
        <v/>
      </c>
      <c r="R264" t="str">
        <f>IF(H16&lt;&gt;"",H16-H31,"")</f>
        <v/>
      </c>
      <c r="S264" t="str">
        <f>IF(H17&lt;&gt;"",H17-H31,"")</f>
        <v/>
      </c>
      <c r="Z264" t="str">
        <f>IF(I15&lt;&gt;"",I15-I31,"")</f>
        <v/>
      </c>
      <c r="AA264" t="str">
        <f>IF(I16&lt;&gt;"",I16-I31,"")</f>
        <v/>
      </c>
      <c r="AB264" t="str">
        <f>IF(I17&lt;&gt;"",I17-I31,"")</f>
        <v/>
      </c>
      <c r="AI264" t="str">
        <f>IF(J15&lt;&gt;"",J15-J31,"")</f>
        <v/>
      </c>
      <c r="AJ264" t="str">
        <f>IF(J16&lt;&gt;"",J16-J31,"")</f>
        <v/>
      </c>
      <c r="AK264" t="str">
        <f>IF(J17&lt;&gt;"",J17-J31,"")</f>
        <v/>
      </c>
      <c r="AR264" t="str">
        <f>IF(K15&lt;&gt;"",K15-K31,"")</f>
        <v/>
      </c>
      <c r="AS264" t="str">
        <f>IF(K16&lt;&gt;"",K16-K31,"")</f>
        <v/>
      </c>
      <c r="AT264" t="str">
        <f>IF(K17&lt;&gt;"",K17-K31,"")</f>
        <v/>
      </c>
      <c r="BA264" t="str">
        <f>IF(L15&lt;&gt;"",L15-L31,"")</f>
        <v/>
      </c>
      <c r="BB264" t="str">
        <f>IF(L16&lt;&gt;"",L16-L31,"")</f>
        <v/>
      </c>
      <c r="BC264" t="str">
        <f>IF(L17&lt;&gt;"",L17-L31,"")</f>
        <v/>
      </c>
    </row>
    <row r="265" spans="16:61">
      <c r="P265" s="2" t="s">
        <v>292</v>
      </c>
      <c r="T265" s="36" t="str">
        <f>IF(H20&lt;&gt;"",H20-H31,"")</f>
        <v/>
      </c>
      <c r="U265" s="36" t="str">
        <f>IF(H21&lt;&gt;"",H21-H31,"")</f>
        <v/>
      </c>
      <c r="V265" s="36" t="str">
        <f>IF(H22&lt;&gt;"",H22-H31,"")</f>
        <v/>
      </c>
      <c r="AC265" s="36" t="str">
        <f>IF(I20&lt;&gt;"",I20-I31,"")</f>
        <v/>
      </c>
      <c r="AD265" s="36" t="str">
        <f>IF(I21&lt;&gt;"",I21-I31,"")</f>
        <v/>
      </c>
      <c r="AE265" s="36" t="str">
        <f>IF(I22&lt;&gt;"",I22-I31,"")</f>
        <v/>
      </c>
      <c r="AL265" s="36" t="str">
        <f>IF(J20&lt;&gt;"",J20-J31,"")</f>
        <v/>
      </c>
      <c r="AM265" s="36" t="str">
        <f>IF(J21&lt;&gt;"",J21-J31,"")</f>
        <v/>
      </c>
      <c r="AN265" s="36" t="str">
        <f>IF(J22&lt;&gt;"",J22-J31,"")</f>
        <v/>
      </c>
      <c r="AU265" s="36" t="str">
        <f>IF(K20&lt;&gt;"",K20-K31,"")</f>
        <v/>
      </c>
      <c r="AV265" s="36" t="str">
        <f>IF(K21&lt;&gt;"",K21-K31,"")</f>
        <v/>
      </c>
      <c r="AW265" s="36" t="str">
        <f>IF(K22&lt;&gt;"",K22-K31,"")</f>
        <v/>
      </c>
      <c r="BD265" s="36" t="str">
        <f>IF(L20&lt;&gt;"",L20-L31,"")</f>
        <v/>
      </c>
      <c r="BE265" s="36" t="str">
        <f>IF(L21&lt;&gt;"",L21-L31,"")</f>
        <v/>
      </c>
      <c r="BF265" s="36" t="str">
        <f>IF(L22&lt;&gt;"",L22-L31,"")</f>
        <v/>
      </c>
    </row>
    <row r="266" spans="16:61">
      <c r="P266" s="2" t="s">
        <v>293</v>
      </c>
      <c r="W266" s="36" t="str">
        <f>IF(H25&lt;&gt;"",H25-H31,"")</f>
        <v/>
      </c>
      <c r="X266" s="36" t="str">
        <f>IF(H26&lt;&gt;"",H26-H31,"")</f>
        <v/>
      </c>
      <c r="Y266" s="36" t="str">
        <f>IF(H27&lt;&gt;"",H27-H31,"")</f>
        <v/>
      </c>
      <c r="AF266" s="36" t="str">
        <f>IF(I25&lt;&gt;"",I25-I31,"")</f>
        <v/>
      </c>
      <c r="AG266" s="36" t="str">
        <f>IF(I26&lt;&gt;"",I26-I31,"")</f>
        <v/>
      </c>
      <c r="AH266" s="36" t="str">
        <f>IF(I27&lt;&gt;"",I27-I31,"")</f>
        <v/>
      </c>
      <c r="AO266" s="36" t="str">
        <f>IF(J25&lt;&gt;"",J25-J31,"")</f>
        <v/>
      </c>
      <c r="AP266" s="36" t="str">
        <f>IF(J26&lt;&gt;"",J26-J31,"")</f>
        <v/>
      </c>
      <c r="AQ266" s="36" t="str">
        <f>IF(J27&lt;&gt;"",J27-J31,"")</f>
        <v/>
      </c>
      <c r="AX266" s="36" t="str">
        <f>IF(K25&lt;&gt;"",K25-K31,"")</f>
        <v/>
      </c>
      <c r="AY266" s="36" t="str">
        <f>IF(K26&lt;&gt;"",K26-K31,"")</f>
        <v/>
      </c>
      <c r="AZ266" s="36" t="str">
        <f>IF(K27&lt;&gt;"",K27-K31,"")</f>
        <v/>
      </c>
      <c r="BG266" s="36" t="str">
        <f>IF(L25&lt;&gt;"",L25-L31,"")</f>
        <v/>
      </c>
      <c r="BH266" s="36" t="str">
        <f>IF(L26&lt;&gt;"",L26-L31,"")</f>
        <v/>
      </c>
      <c r="BI266" s="36" t="str">
        <f>IF(L27&lt;&gt;"",L27-L31,"")</f>
        <v/>
      </c>
    </row>
    <row r="292" spans="2:38">
      <c r="B292" t="s">
        <v>267</v>
      </c>
      <c r="D292" s="1"/>
      <c r="E292" s="1"/>
      <c r="F292" s="1"/>
      <c r="G292" s="1"/>
      <c r="H292" s="1"/>
      <c r="I292" s="1"/>
      <c r="J292" s="1"/>
      <c r="K292" s="1"/>
      <c r="L292" s="1"/>
      <c r="M292" s="1"/>
    </row>
    <row r="293" spans="2:38">
      <c r="D293" s="23"/>
      <c r="E293" s="23"/>
      <c r="F293" s="23"/>
      <c r="G293" s="23"/>
      <c r="H293" s="23"/>
      <c r="I293" s="23"/>
      <c r="J293" s="23"/>
      <c r="K293" s="23"/>
      <c r="L293" s="23"/>
      <c r="M293" s="23"/>
    </row>
    <row r="295" spans="2:38" ht="7.5" customHeight="1"/>
    <row r="297" spans="2:38">
      <c r="P297" t="s">
        <v>336</v>
      </c>
    </row>
    <row r="299" spans="2:38">
      <c r="P299" t="s">
        <v>337</v>
      </c>
      <c r="R299" s="58">
        <v>-1</v>
      </c>
      <c r="S299" s="58">
        <f>R299+0.1</f>
        <v>-0.9</v>
      </c>
      <c r="T299" s="58">
        <f t="shared" ref="T299:AL299" si="30">S299+0.1</f>
        <v>-0.8</v>
      </c>
      <c r="U299" s="58">
        <f t="shared" si="30"/>
        <v>-0.70000000000000007</v>
      </c>
      <c r="V299" s="58">
        <f t="shared" si="30"/>
        <v>-0.60000000000000009</v>
      </c>
      <c r="W299" s="58">
        <f t="shared" si="30"/>
        <v>-0.50000000000000011</v>
      </c>
      <c r="X299" s="58">
        <f t="shared" si="30"/>
        <v>-0.40000000000000013</v>
      </c>
      <c r="Y299" s="58">
        <f t="shared" si="30"/>
        <v>-0.30000000000000016</v>
      </c>
      <c r="Z299" s="58">
        <f t="shared" si="30"/>
        <v>-0.20000000000000015</v>
      </c>
      <c r="AA299" s="58">
        <f t="shared" si="30"/>
        <v>-0.10000000000000014</v>
      </c>
      <c r="AB299" s="58">
        <f t="shared" si="30"/>
        <v>-1.3877787807814457E-16</v>
      </c>
      <c r="AC299" s="58">
        <f t="shared" si="30"/>
        <v>9.9999999999999867E-2</v>
      </c>
      <c r="AD299" s="58">
        <f t="shared" si="30"/>
        <v>0.19999999999999987</v>
      </c>
      <c r="AE299" s="58">
        <f t="shared" si="30"/>
        <v>0.29999999999999988</v>
      </c>
      <c r="AF299" s="58">
        <f t="shared" si="30"/>
        <v>0.39999999999999991</v>
      </c>
      <c r="AG299" s="58">
        <f t="shared" si="30"/>
        <v>0.49999999999999989</v>
      </c>
      <c r="AH299" s="58">
        <f t="shared" si="30"/>
        <v>0.59999999999999987</v>
      </c>
      <c r="AI299" s="58">
        <f t="shared" si="30"/>
        <v>0.69999999999999984</v>
      </c>
      <c r="AJ299" s="58">
        <f t="shared" si="30"/>
        <v>0.79999999999999982</v>
      </c>
      <c r="AK299" s="58">
        <f t="shared" si="30"/>
        <v>0.8999999999999998</v>
      </c>
      <c r="AL299" s="58">
        <f t="shared" si="30"/>
        <v>0.99999999999999978</v>
      </c>
    </row>
    <row r="300" spans="2:38">
      <c r="P300" t="s">
        <v>338</v>
      </c>
      <c r="Q300" t="s">
        <v>270</v>
      </c>
      <c r="R300" s="36">
        <f>COUNTIF($Q258:$BI258,"&gt;-1")+COUNTIF($Q264:$BI264,"&gt;-1")-SUM(S300:AL300)</f>
        <v>0</v>
      </c>
      <c r="S300" s="36">
        <f>COUNTIF($Q258:$BI258,"&gt;-.9")+COUNTIF($Q264:$BI264,"&gt;-.9")-SUM(T300:AL300)</f>
        <v>0</v>
      </c>
      <c r="T300" s="36">
        <f>COUNTIF($Q258:$BI258,"&gt;-.8")+COUNTIF($Q264:$BI264,"&gt;-.8")-SUM(U300:AL300)</f>
        <v>0</v>
      </c>
      <c r="U300" s="36">
        <f>COUNTIF($Q258:$BI258,"&gt;-.7")+COUNTIF($Q264:$BI264,"&gt;-.7")-SUM(V300:AL300)</f>
        <v>0</v>
      </c>
      <c r="V300" s="36">
        <f>COUNTIF($Q258:$BI258,"&gt;-.6")+COUNTIF($Q264:$BI264,"&gt;-.6")-SUM(W300:AL300)</f>
        <v>0</v>
      </c>
      <c r="W300" s="36">
        <f>COUNTIF($Q258:$BI258,"&gt;-.5")+COUNTIF($Q264:$BI264,"&gt;-.5")-SUM(X300:AL300)</f>
        <v>0</v>
      </c>
      <c r="X300" s="36">
        <f>COUNTIF($Q258:$BI258,"&gt;-.4")+COUNTIF($Q264:$BI264,"&gt;-.4")-SUM(Y300:AL300)</f>
        <v>0</v>
      </c>
      <c r="Y300" s="36">
        <f>COUNTIF($Q258:$BI258,"&gt;-.3")+COUNTIF($Q264:$BI264,"&gt;-.3")-SUM(Z300:AL300)</f>
        <v>0</v>
      </c>
      <c r="Z300" s="36">
        <f>COUNTIF($Q258:$BI258,"&gt;-.2")+COUNTIF($Q264:$BI264,"&gt;-.2")-SUM(AA300:AL300)</f>
        <v>0</v>
      </c>
      <c r="AA300" s="36">
        <f>COUNTIF($Q258:$BI258,"&gt;-.1")+COUNTIF($Q264:$BI264,"&gt;-.1")-SUM(AB300:AL300)</f>
        <v>0</v>
      </c>
      <c r="AB300" s="36">
        <f>COUNTIF($Q258:$BI258,"&gt;-0")+COUNTIF($Q264:$BI264,"&gt;0")-SUM(AC300:AL300)</f>
        <v>0</v>
      </c>
      <c r="AC300" s="36">
        <f>COUNTIF($Q258:$BI258,"&gt;.1")+COUNTIF($Q264:$BI264,"&gt;.1")-SUM(AD300:AL300)</f>
        <v>0</v>
      </c>
      <c r="AD300" s="36">
        <f>COUNTIF($Q258:$BI258,"&gt;.2")+COUNTIF($Q264:$BI264,"&gt;.2")-SUM(AE300:AL300)</f>
        <v>0</v>
      </c>
      <c r="AE300" s="36">
        <f>COUNTIF($Q258:$BI258,"&gt;.3")+COUNTIF($Q264:$BI264,"&gt;.3")-SUM(AF300:AL300)</f>
        <v>0</v>
      </c>
      <c r="AF300" s="36">
        <f>COUNTIF($Q258:$BI258,"&gt;.4")+COUNTIF($Q264:$BI264,"&gt;.4")-SUM(AG300:AL300)</f>
        <v>0</v>
      </c>
      <c r="AG300" s="36">
        <f>COUNTIF($Q258:$BI258,"&gt;.5")+COUNTIF($Q264:$BI264,"&gt;.5")-SUM(AH300:AL300)</f>
        <v>0</v>
      </c>
      <c r="AH300" s="36">
        <f>COUNTIF($Q258:$BI258,"&gt;.6")+COUNTIF($Q264:$BI264,"&gt;.6")-SUM(AI300:AL300)</f>
        <v>0</v>
      </c>
      <c r="AI300" s="36">
        <f>COUNTIF($Q258:$BI258,"&gt;.7")+COUNTIF($Q264:$BI264,"&gt;.7")-SUM(AJ300:AL300)</f>
        <v>0</v>
      </c>
      <c r="AJ300" s="36">
        <f>COUNTIF($Q258:$BI258,"&gt;.8")+COUNTIF($Q264:$BI264,"&gt;.8")-SUM(AK300:AL300)</f>
        <v>0</v>
      </c>
      <c r="AK300" s="36">
        <f>COUNTIF($Q258:$BI258,"&gt;.9")+COUNTIF($Q264:$BI264,"&gt;.9")-SUM(AL300:AL300)</f>
        <v>0</v>
      </c>
      <c r="AL300" s="36">
        <f>COUNTIF($Q258:$BI258,"&gt;1")+COUNTIF($Q264:$BI264,"&gt;1")</f>
        <v>0</v>
      </c>
    </row>
    <row r="301" spans="2:38">
      <c r="Q301" t="s">
        <v>274</v>
      </c>
      <c r="R301" s="36">
        <f>COUNTIF($Q259:$BI259,"&gt;-1")+COUNTIF($Q265:$BI265,"&gt;-1")-SUM(S301:AL301)</f>
        <v>0</v>
      </c>
      <c r="S301" s="36">
        <f>COUNTIF($Q259:$BI259,"&gt;-.9")+COUNTIF($Q265:$BI265,"&gt;-.9")-SUM(T301:AL301)</f>
        <v>0</v>
      </c>
      <c r="T301" s="36">
        <f>COUNTIF($Q259:$BI259,"&gt;-.8")+COUNTIF($Q265:$BI265,"&gt;-.8")-SUM(U301:AL301)</f>
        <v>0</v>
      </c>
      <c r="U301" s="36">
        <f>COUNTIF($Q259:$BI259,"&gt;-.7")+COUNTIF($Q265:$BI265,"&gt;-.7")-SUM(V301:AL301)</f>
        <v>0</v>
      </c>
      <c r="V301" s="36">
        <f>COUNTIF($Q259:$BI259,"&gt;-.6")+COUNTIF($Q265:$BI265,"&gt;-.6")-SUM(W301:AL301)</f>
        <v>0</v>
      </c>
      <c r="W301" s="36">
        <f>COUNTIF($Q259:$BI259,"&gt;-.5")+COUNTIF($Q265:$BI265,"&gt;-.5")-SUM(X301:AL301)</f>
        <v>0</v>
      </c>
      <c r="X301" s="36">
        <f>COUNTIF($Q259:$BI259,"&gt;-.4")+COUNTIF($Q265:$BI265,"&gt;-.4")-SUM(Y301:AL301)</f>
        <v>0</v>
      </c>
      <c r="Y301" s="36">
        <f>COUNTIF($Q259:$BI259,"&gt;-.3")+COUNTIF($Q265:$BI265,"&gt;-.3")-SUM(Z301:AL301)</f>
        <v>0</v>
      </c>
      <c r="Z301" s="36">
        <f>COUNTIF($Q259:$BI259,"&gt;-.2")+COUNTIF($Q265:$BI265,"&gt;-.2")-SUM(AA301:AL301)</f>
        <v>0</v>
      </c>
      <c r="AA301" s="36">
        <f>COUNTIF($Q259:$BI259,"&gt;-.1")+COUNTIF($Q265:$BI265,"&gt;-.1")-SUM(AB301:AL301)</f>
        <v>0</v>
      </c>
      <c r="AB301" s="36">
        <f>COUNTIF($Q259:$BI259,"&gt;-0")+COUNTIF($Q265:$BI265,"&gt;0")-SUM(AC301:AL301)</f>
        <v>0</v>
      </c>
      <c r="AC301" s="36">
        <f>COUNTIF($Q259:$BI259,"&gt;.1")+COUNTIF($Q265:$BI265,"&gt;.1")-SUM(AD301:AL301)</f>
        <v>0</v>
      </c>
      <c r="AD301" s="36">
        <f>COUNTIF($Q259:$BI259,"&gt;.2")+COUNTIF($Q265:$BI265,"&gt;.2")-SUM(AE301:AL301)</f>
        <v>0</v>
      </c>
      <c r="AE301" s="36">
        <f>COUNTIF($Q259:$BI259,"&gt;.3")+COUNTIF($Q265:$BI265,"&gt;.3")-SUM(AF301:AL301)</f>
        <v>0</v>
      </c>
      <c r="AF301" s="36">
        <f>COUNTIF($Q259:$BI259,"&gt;.4")+COUNTIF($Q265:$BI265,"&gt;.4")-SUM(AG301:AL301)</f>
        <v>0</v>
      </c>
      <c r="AG301" s="36">
        <f>COUNTIF($Q259:$BI259,"&gt;.5")+COUNTIF($Q265:$BI265,"&gt;.5")-SUM(AH301:AL301)</f>
        <v>0</v>
      </c>
      <c r="AH301" s="36">
        <f>COUNTIF($Q259:$BI259,"&gt;.6")+COUNTIF($Q265:$BI265,"&gt;.6")-SUM(AI301:AL301)</f>
        <v>0</v>
      </c>
      <c r="AI301" s="36">
        <f>COUNTIF($Q259:$BI259,"&gt;.7")+COUNTIF($Q265:$BI265,"&gt;.7")-SUM(AJ301:AL301)</f>
        <v>0</v>
      </c>
      <c r="AJ301" s="36">
        <f>COUNTIF($Q259:$BI259,"&gt;.8")+COUNTIF($Q265:$BI265,"&gt;.8")-SUM(AK301:AL301)</f>
        <v>0</v>
      </c>
      <c r="AK301" s="36">
        <f>COUNTIF($Q259:$BI259,"&gt;.9")+COUNTIF($Q265:$BI265,"&gt;.9")-SUM(AL301:AL301)</f>
        <v>0</v>
      </c>
      <c r="AL301" s="36">
        <f>COUNTIF($Q259:$BI259,"&gt;1")+COUNTIF($Q265:$BI265,"&gt;1")</f>
        <v>0</v>
      </c>
    </row>
    <row r="302" spans="2:38">
      <c r="Q302" t="s">
        <v>272</v>
      </c>
      <c r="R302" s="36">
        <f>COUNTIF($Q260:$BI260,"&gt;-1")+COUNTIF($Q266:$BI266,"&gt;-1")-SUM(S302:AL302)</f>
        <v>0</v>
      </c>
      <c r="S302" s="36">
        <f>COUNTIF($Q260:$BI260,"&gt;-.9")+COUNTIF($Q266:$BI266,"&gt;-.9")-SUM(T302:AL302)</f>
        <v>0</v>
      </c>
      <c r="T302" s="36">
        <f>COUNTIF($Q260:$BI260,"&gt;-.8")+COUNTIF($Q266:$BI266,"&gt;-.8")-SUM(U302:AL302)</f>
        <v>0</v>
      </c>
      <c r="U302" s="36">
        <f>COUNTIF($Q260:$BI260,"&gt;-.7")+COUNTIF($Q266:$BI266,"&gt;-.7")-SUM(V302:AL302)</f>
        <v>0</v>
      </c>
      <c r="V302" s="36">
        <f>COUNTIF($Q260:$BI260,"&gt;-.6")+COUNTIF($Q266:$BI266,"&gt;-.6")-SUM(W302:AL302)</f>
        <v>0</v>
      </c>
      <c r="W302" s="36">
        <f>COUNTIF($Q260:$BI260,"&gt;-.5")+COUNTIF($Q266:$BI266,"&gt;-.5")-SUM(X302:AL302)</f>
        <v>0</v>
      </c>
      <c r="X302" s="36">
        <f>COUNTIF($Q260:$BI260,"&gt;-.4")+COUNTIF($Q266:$BI266,"&gt;-.4")-SUM(Y302:AL302)</f>
        <v>0</v>
      </c>
      <c r="Y302" s="36">
        <f>COUNTIF($Q260:$BI260,"&gt;-.3")+COUNTIF($Q266:$BI266,"&gt;-.3")-SUM(Z302:AL302)</f>
        <v>0</v>
      </c>
      <c r="Z302" s="36">
        <f>COUNTIF($Q260:$BI260,"&gt;-.2")+COUNTIF($Q266:$BI266,"&gt;-.2")-SUM(AA302:AL302)</f>
        <v>0</v>
      </c>
      <c r="AA302" s="36">
        <f>COUNTIF($Q260:$BI260,"&gt;-.1")+COUNTIF($Q266:$BI266,"&gt;-.1")-SUM(AB302:AL302)</f>
        <v>0</v>
      </c>
      <c r="AB302" s="36">
        <f>COUNTIF($Q260:$BI260,"&gt;-0")+COUNTIF($Q266:$BI266,"&gt;0")-SUM(AC302:AL302)</f>
        <v>0</v>
      </c>
      <c r="AC302" s="36">
        <f>COUNTIF($Q260:$BI260,"&gt;.1")+COUNTIF($Q266:$BI266,"&gt;.1")-SUM(AD302:AL302)</f>
        <v>0</v>
      </c>
      <c r="AD302" s="36">
        <f>COUNTIF($Q260:$BI260,"&gt;.2")+COUNTIF($Q266:$BI266,"&gt;.2")-SUM(AE302:AL302)</f>
        <v>0</v>
      </c>
      <c r="AE302" s="36">
        <f>COUNTIF($Q260:$BI260,"&gt;.3")+COUNTIF($Q266:$BI266,"&gt;.3")-SUM(AF302:AL302)</f>
        <v>0</v>
      </c>
      <c r="AF302" s="36">
        <f>COUNTIF($Q260:$BI260,"&gt;.4")+COUNTIF($Q266:$BI266,"&gt;.4")-SUM(AG302:AL302)</f>
        <v>0</v>
      </c>
      <c r="AG302" s="36">
        <f>COUNTIF($Q260:$BI260,"&gt;.5")+COUNTIF($Q266:$BI266,"&gt;.5")-SUM(AH302:AL302)</f>
        <v>0</v>
      </c>
      <c r="AH302" s="36">
        <f>COUNTIF($Q260:$BI260,"&gt;.6")+COUNTIF($Q266:$BI266,"&gt;.6")-SUM(AI302:AL302)</f>
        <v>0</v>
      </c>
      <c r="AI302" s="36">
        <f>COUNTIF($Q260:$BI260,"&gt;.7")+COUNTIF($Q266:$BI266,"&gt;.7")-SUM(AJ302:AL302)</f>
        <v>0</v>
      </c>
      <c r="AJ302" s="36">
        <f>COUNTIF($Q260:$BI260,"&gt;.8")+COUNTIF($Q266:$BI266,"&gt;.8")-SUM(AK302:AL302)</f>
        <v>0</v>
      </c>
      <c r="AK302" s="36">
        <f>COUNTIF($Q260:$BI260,"&gt;.9")+COUNTIF($Q266:$BI266,"&gt;.9")-SUM(AL302:AL302)</f>
        <v>0</v>
      </c>
      <c r="AL302" s="36">
        <f>COUNTIF($Q260:$BI260,"&gt;1")+COUNTIF($Q266:$BI266,"&gt;1")</f>
        <v>0</v>
      </c>
    </row>
    <row r="308" ht="7.5" customHeight="1"/>
    <row r="321" spans="2:13" ht="7.5" customHeight="1"/>
    <row r="335" spans="2:13">
      <c r="B335" t="s">
        <v>267</v>
      </c>
      <c r="D335" s="1"/>
      <c r="E335" s="1"/>
      <c r="F335" s="1"/>
      <c r="G335" s="1"/>
      <c r="H335" s="1"/>
      <c r="I335" s="1"/>
      <c r="J335" s="1"/>
      <c r="K335" s="1"/>
      <c r="L335" s="1"/>
      <c r="M335" s="1"/>
    </row>
    <row r="336" spans="2:13">
      <c r="D336" s="23"/>
      <c r="E336" s="23"/>
      <c r="F336" s="23"/>
      <c r="G336" s="23"/>
      <c r="H336" s="23"/>
      <c r="I336" s="23"/>
      <c r="J336" s="23"/>
      <c r="K336" s="23"/>
      <c r="L336" s="23"/>
      <c r="M336" s="23"/>
    </row>
    <row r="338" spans="16:19">
      <c r="R338" t="s">
        <v>145</v>
      </c>
    </row>
    <row r="339" spans="16:19">
      <c r="P339" t="s">
        <v>270</v>
      </c>
      <c r="R339" s="58">
        <f>MIN(C31:L31)</f>
        <v>0</v>
      </c>
      <c r="S339" s="58">
        <f>MAX(C31:L31)</f>
        <v>0</v>
      </c>
    </row>
    <row r="340" spans="16:19">
      <c r="P340" t="s">
        <v>274</v>
      </c>
      <c r="R340" s="58">
        <f>R339</f>
        <v>0</v>
      </c>
      <c r="S340" s="58">
        <f>S339</f>
        <v>0</v>
      </c>
    </row>
    <row r="341" spans="16:19">
      <c r="P341" t="s">
        <v>272</v>
      </c>
    </row>
    <row r="365" spans="2:13">
      <c r="B365" t="s">
        <v>267</v>
      </c>
      <c r="D365" s="1"/>
      <c r="E365" s="1"/>
      <c r="F365" s="1"/>
      <c r="G365" s="1"/>
      <c r="H365" s="1"/>
      <c r="I365" s="1"/>
      <c r="J365" s="1"/>
      <c r="K365" s="1"/>
      <c r="L365" s="1"/>
      <c r="M365" s="1"/>
    </row>
    <row r="366" spans="2:13">
      <c r="D366" s="23"/>
      <c r="E366" s="23"/>
      <c r="F366" s="23"/>
      <c r="G366" s="23"/>
      <c r="H366" s="23"/>
      <c r="I366" s="23"/>
      <c r="J366" s="23"/>
      <c r="K366" s="23"/>
      <c r="L366" s="23"/>
      <c r="M366" s="23"/>
    </row>
    <row r="397" ht="7.5" customHeight="1"/>
    <row r="398" ht="6" customHeight="1"/>
    <row r="420" ht="9" customHeight="1"/>
    <row r="441" spans="2:13">
      <c r="B441" t="s">
        <v>267</v>
      </c>
      <c r="D441" s="1"/>
      <c r="E441" s="1"/>
      <c r="F441" s="1"/>
      <c r="G441" s="1"/>
      <c r="H441" s="1"/>
      <c r="I441" s="1"/>
      <c r="J441" s="1"/>
      <c r="K441" s="1"/>
      <c r="L441" s="1"/>
      <c r="M441" s="1"/>
    </row>
    <row r="442" spans="2:13">
      <c r="D442" s="23"/>
      <c r="E442" s="23"/>
      <c r="F442" s="23"/>
      <c r="G442" s="23"/>
      <c r="H442" s="23"/>
      <c r="I442" s="23"/>
      <c r="J442" s="23"/>
      <c r="K442" s="23"/>
      <c r="L442" s="23"/>
      <c r="M442" s="23"/>
    </row>
  </sheetData>
  <mergeCells count="15">
    <mergeCell ref="A2:N3"/>
    <mergeCell ref="J5:N5"/>
    <mergeCell ref="J7:N7"/>
    <mergeCell ref="J11:K11"/>
    <mergeCell ref="J9:N9"/>
    <mergeCell ref="L11:N11"/>
    <mergeCell ref="A5:E5"/>
    <mergeCell ref="A7:E7"/>
    <mergeCell ref="A9:C9"/>
    <mergeCell ref="A11:E11"/>
    <mergeCell ref="F5:I5"/>
    <mergeCell ref="F7:I7"/>
    <mergeCell ref="F9:I9"/>
    <mergeCell ref="F11:G11"/>
    <mergeCell ref="H11:I11"/>
  </mergeCells>
  <phoneticPr fontId="27" type="noConversion"/>
  <printOptions horizontalCentered="1"/>
  <pageMargins left="0.75" right="0.53125" top="0.85416666666666663" bottom="0.75" header="0.5" footer="0.5"/>
  <pageSetup orientation="portrait" horizontalDpi="4294967292" verticalDpi="1200" r:id="rId1"/>
  <headerFooter>
    <oddHeader>&amp;L&amp;G&amp;C&amp;"Arial,Bold"&amp;14        GAGE R&amp;&amp;R DATA SHEET</oddHeader>
    <oddFooter>&amp;C&amp;F</oddFooter>
  </headerFooter>
  <rowBreaks count="7" manualBreakCount="7">
    <brk id="44" max="16383" man="1"/>
    <brk id="129" max="16383" man="1"/>
    <brk id="170" max="16383" man="1"/>
    <brk id="211" max="16383" man="1"/>
    <brk id="253" max="16383" man="1"/>
    <brk id="294" max="16383" man="1"/>
    <brk id="336" max="16383" man="1"/>
  </rowBreaks>
  <drawing r:id="rId2"/>
  <legacyDrawing r:id="rId3"/>
  <legacyDrawingHF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0">
    <pageSetUpPr fitToPage="1"/>
  </sheetPr>
  <dimension ref="A1:DQ113"/>
  <sheetViews>
    <sheetView showGridLines="0" showRowColHeaders="0" view="pageLayout" zoomScale="50" zoomScaleNormal="100" zoomScaleSheetLayoutView="130" zoomScalePageLayoutView="50" workbookViewId="0">
      <selection activeCell="AJ2" sqref="AJ2"/>
    </sheetView>
  </sheetViews>
  <sheetFormatPr defaultRowHeight="12.75"/>
  <cols>
    <col min="1" max="1" width="2.28515625" customWidth="1"/>
    <col min="2" max="2" width="6.28515625" customWidth="1"/>
    <col min="3" max="32" width="3.7109375" customWidth="1"/>
    <col min="33" max="33" width="9.140625" style="33" customWidth="1"/>
    <col min="34" max="34" width="11.28515625" style="33" customWidth="1"/>
    <col min="35" max="64" width="6.5703125" style="33" customWidth="1"/>
    <col min="65" max="119" width="9.140625" style="33" customWidth="1"/>
  </cols>
  <sheetData>
    <row r="1" spans="1:64" s="4" customFormat="1" ht="18">
      <c r="A1" s="886" t="s">
        <v>111</v>
      </c>
      <c r="B1" s="887"/>
      <c r="C1" s="887"/>
      <c r="D1" s="887"/>
      <c r="E1" s="887"/>
      <c r="F1" s="888"/>
      <c r="J1" s="889" t="s">
        <v>822</v>
      </c>
      <c r="K1" s="889"/>
      <c r="L1" s="889"/>
      <c r="M1" s="889"/>
      <c r="N1" s="889"/>
      <c r="O1" s="889"/>
      <c r="P1" s="889"/>
      <c r="Q1" s="889"/>
      <c r="R1" s="889"/>
      <c r="S1" s="889"/>
      <c r="T1" s="889"/>
      <c r="U1" s="889"/>
      <c r="V1" s="889"/>
      <c r="W1" s="889"/>
      <c r="AD1" s="12" t="s">
        <v>415</v>
      </c>
      <c r="AE1" s="13"/>
      <c r="AF1" s="31"/>
    </row>
    <row r="2" spans="1:64">
      <c r="A2" s="825">
        <f>'Header Info'!C7</f>
        <v>0</v>
      </c>
      <c r="B2" s="827"/>
      <c r="C2" s="827"/>
      <c r="D2" s="827"/>
      <c r="E2" s="827"/>
      <c r="F2" s="826"/>
      <c r="G2" s="1"/>
      <c r="H2" s="1"/>
      <c r="I2" s="1"/>
      <c r="J2" s="1"/>
      <c r="K2" s="1"/>
      <c r="L2" s="575"/>
      <c r="M2" s="575"/>
      <c r="N2" s="575"/>
      <c r="O2" s="575"/>
      <c r="P2" s="575"/>
      <c r="Q2" s="575"/>
      <c r="R2" s="575"/>
      <c r="S2" s="575"/>
      <c r="T2" s="1"/>
      <c r="U2" s="1"/>
      <c r="V2" s="1"/>
      <c r="AD2" s="865"/>
      <c r="AE2" s="866"/>
      <c r="AF2" s="867"/>
    </row>
    <row r="3" spans="1:64" s="4" customFormat="1" ht="11.25">
      <c r="A3" s="12" t="s">
        <v>417</v>
      </c>
      <c r="B3" s="13"/>
      <c r="C3" s="13"/>
      <c r="D3" s="13"/>
      <c r="E3" s="13"/>
      <c r="F3" s="13"/>
      <c r="G3" s="13"/>
      <c r="H3" s="13"/>
      <c r="I3" s="13"/>
      <c r="J3" s="13"/>
      <c r="K3" s="13"/>
      <c r="L3" s="31"/>
      <c r="M3" s="12" t="s">
        <v>416</v>
      </c>
      <c r="N3" s="13"/>
      <c r="O3" s="13"/>
      <c r="P3" s="13"/>
      <c r="Q3" s="13"/>
      <c r="R3" s="13"/>
      <c r="S3" s="13"/>
      <c r="T3" s="13"/>
      <c r="U3" s="13"/>
      <c r="V3" s="13"/>
      <c r="W3" s="31"/>
      <c r="X3" s="12" t="s">
        <v>418</v>
      </c>
      <c r="Y3" s="13"/>
      <c r="Z3" s="13"/>
      <c r="AA3" s="13"/>
      <c r="AB3" s="13"/>
      <c r="AC3" s="13"/>
      <c r="AD3" s="13"/>
      <c r="AE3" s="13"/>
      <c r="AF3" s="31"/>
    </row>
    <row r="4" spans="1:64">
      <c r="A4" s="825">
        <f>'Header Info'!C6</f>
        <v>0</v>
      </c>
      <c r="B4" s="827"/>
      <c r="C4" s="827"/>
      <c r="D4" s="827"/>
      <c r="E4" s="827"/>
      <c r="F4" s="827"/>
      <c r="G4" s="827"/>
      <c r="H4" s="827"/>
      <c r="I4" s="827"/>
      <c r="J4" s="827"/>
      <c r="K4" s="827"/>
      <c r="L4" s="826"/>
      <c r="M4" s="865" t="s">
        <v>680</v>
      </c>
      <c r="N4" s="866"/>
      <c r="O4" s="866"/>
      <c r="P4" s="866"/>
      <c r="Q4" s="866"/>
      <c r="R4" s="866"/>
      <c r="S4" s="866"/>
      <c r="T4" s="866"/>
      <c r="U4" s="866"/>
      <c r="V4" s="866"/>
      <c r="W4" s="867"/>
      <c r="X4" s="865"/>
      <c r="Y4" s="866"/>
      <c r="Z4" s="866"/>
      <c r="AA4" s="866"/>
      <c r="AB4" s="866"/>
      <c r="AC4" s="866"/>
      <c r="AD4" s="866"/>
      <c r="AE4" s="866"/>
      <c r="AF4" s="867"/>
    </row>
    <row r="5" spans="1:64" s="4" customFormat="1" ht="11.25">
      <c r="A5" s="12" t="s">
        <v>36</v>
      </c>
      <c r="B5" s="13"/>
      <c r="C5" s="13"/>
      <c r="D5" s="13"/>
      <c r="E5" s="12" t="s">
        <v>37</v>
      </c>
      <c r="F5" s="13"/>
      <c r="G5" s="13"/>
      <c r="H5" s="13"/>
      <c r="I5" s="31"/>
      <c r="J5" s="12" t="s">
        <v>112</v>
      </c>
      <c r="K5" s="13"/>
      <c r="L5" s="13"/>
      <c r="M5" s="13"/>
      <c r="N5" s="31"/>
      <c r="O5" s="12" t="s">
        <v>421</v>
      </c>
      <c r="P5" s="13"/>
      <c r="Q5" s="13"/>
      <c r="R5" s="31"/>
      <c r="S5" s="12" t="s">
        <v>419</v>
      </c>
      <c r="T5" s="13"/>
      <c r="U5" s="13"/>
      <c r="V5" s="31"/>
      <c r="W5" s="12" t="s">
        <v>420</v>
      </c>
      <c r="X5" s="13"/>
      <c r="Y5" s="13"/>
      <c r="Z5" s="13"/>
      <c r="AA5" s="31"/>
      <c r="AB5" s="12" t="s">
        <v>422</v>
      </c>
      <c r="AC5" s="13"/>
      <c r="AD5" s="13"/>
      <c r="AE5" s="13"/>
      <c r="AF5" s="31"/>
    </row>
    <row r="6" spans="1:64" s="75" customFormat="1">
      <c r="A6" s="865"/>
      <c r="B6" s="866"/>
      <c r="C6" s="866"/>
      <c r="D6" s="867"/>
      <c r="E6" s="865"/>
      <c r="F6" s="866"/>
      <c r="G6" s="866"/>
      <c r="H6" s="866"/>
      <c r="I6" s="867"/>
      <c r="J6" s="865"/>
      <c r="K6" s="866"/>
      <c r="L6" s="866"/>
      <c r="M6" s="866"/>
      <c r="N6" s="867"/>
      <c r="O6" s="865"/>
      <c r="P6" s="866"/>
      <c r="Q6" s="866"/>
      <c r="R6" s="867"/>
      <c r="S6" s="865"/>
      <c r="T6" s="866"/>
      <c r="U6" s="866"/>
      <c r="V6" s="867"/>
      <c r="W6" s="865"/>
      <c r="X6" s="866"/>
      <c r="Y6" s="866"/>
      <c r="Z6" s="866"/>
      <c r="AA6" s="867"/>
      <c r="AB6" s="865"/>
      <c r="AC6" s="866"/>
      <c r="AD6" s="866"/>
      <c r="AE6" s="866"/>
      <c r="AF6" s="867"/>
    </row>
    <row r="7" spans="1:64" ht="6.75" customHeight="1"/>
    <row r="8" spans="1:64">
      <c r="B8" s="124" t="s">
        <v>113</v>
      </c>
      <c r="C8" s="868" t="str">
        <f>IF(C52&lt;&gt;"",AVERAGE(C58:AF58),"")</f>
        <v/>
      </c>
      <c r="D8" s="868"/>
      <c r="E8" s="95"/>
      <c r="F8" s="96" t="s">
        <v>114</v>
      </c>
      <c r="G8" s="96"/>
      <c r="H8" s="868" t="str">
        <f>IF(C8&lt;&gt;"",C8+AI16*C29,"")</f>
        <v/>
      </c>
      <c r="I8" s="868"/>
      <c r="J8" s="95"/>
      <c r="K8" s="96" t="s">
        <v>115</v>
      </c>
      <c r="L8" s="96"/>
      <c r="M8" s="868" t="str">
        <f>IF(C8&lt;&gt;"",C8-AI16*C29,"")</f>
        <v/>
      </c>
      <c r="N8" s="869"/>
      <c r="S8" s="26" t="s">
        <v>116</v>
      </c>
      <c r="AH8" s="33" t="s">
        <v>117</v>
      </c>
    </row>
    <row r="9" spans="1:64">
      <c r="C9" s="58"/>
      <c r="D9" s="58"/>
      <c r="E9" s="58"/>
      <c r="F9" s="58"/>
      <c r="G9" s="58"/>
      <c r="H9" s="58"/>
      <c r="I9" s="58"/>
      <c r="J9" s="58"/>
      <c r="K9" s="58"/>
      <c r="L9" s="58"/>
      <c r="M9" s="58"/>
      <c r="N9" s="58"/>
    </row>
    <row r="10" spans="1:64">
      <c r="C10" s="58"/>
      <c r="D10" s="58"/>
      <c r="E10" s="58"/>
      <c r="F10" s="58"/>
      <c r="G10" s="58"/>
      <c r="H10" s="58"/>
      <c r="I10" s="58"/>
      <c r="J10" s="58"/>
      <c r="K10" s="58"/>
      <c r="L10" s="58"/>
      <c r="M10" s="58"/>
      <c r="N10" s="58"/>
      <c r="AH10" s="33" t="s">
        <v>118</v>
      </c>
      <c r="AI10" s="98">
        <v>1</v>
      </c>
      <c r="AJ10" s="98">
        <f>AI10+1</f>
        <v>2</v>
      </c>
      <c r="AK10" s="98">
        <f t="shared" ref="AK10:BL10" si="0">AJ10+1</f>
        <v>3</v>
      </c>
      <c r="AL10" s="98">
        <f t="shared" si="0"/>
        <v>4</v>
      </c>
      <c r="AM10" s="98">
        <f t="shared" si="0"/>
        <v>5</v>
      </c>
      <c r="AN10" s="98">
        <f t="shared" si="0"/>
        <v>6</v>
      </c>
      <c r="AO10" s="98">
        <f t="shared" si="0"/>
        <v>7</v>
      </c>
      <c r="AP10" s="98">
        <f t="shared" si="0"/>
        <v>8</v>
      </c>
      <c r="AQ10" s="98">
        <f t="shared" si="0"/>
        <v>9</v>
      </c>
      <c r="AR10" s="98">
        <f t="shared" si="0"/>
        <v>10</v>
      </c>
      <c r="AS10" s="98">
        <f t="shared" si="0"/>
        <v>11</v>
      </c>
      <c r="AT10" s="98">
        <f t="shared" si="0"/>
        <v>12</v>
      </c>
      <c r="AU10" s="98">
        <f t="shared" si="0"/>
        <v>13</v>
      </c>
      <c r="AV10" s="98">
        <f t="shared" si="0"/>
        <v>14</v>
      </c>
      <c r="AW10" s="98">
        <f t="shared" si="0"/>
        <v>15</v>
      </c>
      <c r="AX10" s="98">
        <f t="shared" si="0"/>
        <v>16</v>
      </c>
      <c r="AY10" s="98">
        <f t="shared" si="0"/>
        <v>17</v>
      </c>
      <c r="AZ10" s="98">
        <f t="shared" si="0"/>
        <v>18</v>
      </c>
      <c r="BA10" s="98">
        <f t="shared" si="0"/>
        <v>19</v>
      </c>
      <c r="BB10" s="98">
        <f t="shared" si="0"/>
        <v>20</v>
      </c>
      <c r="BC10" s="98">
        <f t="shared" si="0"/>
        <v>21</v>
      </c>
      <c r="BD10" s="98">
        <f t="shared" si="0"/>
        <v>22</v>
      </c>
      <c r="BE10" s="98">
        <f t="shared" si="0"/>
        <v>23</v>
      </c>
      <c r="BF10" s="98">
        <f t="shared" si="0"/>
        <v>24</v>
      </c>
      <c r="BG10" s="98">
        <f t="shared" si="0"/>
        <v>25</v>
      </c>
      <c r="BH10" s="98">
        <f t="shared" si="0"/>
        <v>26</v>
      </c>
      <c r="BI10" s="98">
        <f t="shared" si="0"/>
        <v>27</v>
      </c>
      <c r="BJ10" s="98">
        <f t="shared" si="0"/>
        <v>28</v>
      </c>
      <c r="BK10" s="98">
        <f t="shared" si="0"/>
        <v>29</v>
      </c>
      <c r="BL10" s="98">
        <f t="shared" si="0"/>
        <v>30</v>
      </c>
    </row>
    <row r="11" spans="1:64">
      <c r="C11" s="58"/>
      <c r="D11" s="58"/>
      <c r="E11" s="58"/>
      <c r="F11" s="58"/>
      <c r="G11" s="58"/>
      <c r="H11" s="58"/>
      <c r="I11" s="58"/>
      <c r="J11" s="58"/>
      <c r="K11" s="58"/>
      <c r="L11" s="58"/>
      <c r="M11" s="58"/>
      <c r="N11" s="58"/>
      <c r="AH11" s="33" t="s">
        <v>119</v>
      </c>
      <c r="AI11" s="99" t="str">
        <f t="shared" ref="AI11:BL11" si="1">$H$8</f>
        <v/>
      </c>
      <c r="AJ11" s="99" t="str">
        <f t="shared" si="1"/>
        <v/>
      </c>
      <c r="AK11" s="99" t="str">
        <f t="shared" si="1"/>
        <v/>
      </c>
      <c r="AL11" s="99" t="str">
        <f t="shared" si="1"/>
        <v/>
      </c>
      <c r="AM11" s="99" t="str">
        <f t="shared" si="1"/>
        <v/>
      </c>
      <c r="AN11" s="99" t="str">
        <f t="shared" si="1"/>
        <v/>
      </c>
      <c r="AO11" s="99" t="str">
        <f t="shared" si="1"/>
        <v/>
      </c>
      <c r="AP11" s="99" t="str">
        <f t="shared" si="1"/>
        <v/>
      </c>
      <c r="AQ11" s="99" t="str">
        <f t="shared" si="1"/>
        <v/>
      </c>
      <c r="AR11" s="99" t="str">
        <f t="shared" si="1"/>
        <v/>
      </c>
      <c r="AS11" s="99" t="str">
        <f t="shared" si="1"/>
        <v/>
      </c>
      <c r="AT11" s="99" t="str">
        <f t="shared" si="1"/>
        <v/>
      </c>
      <c r="AU11" s="99" t="str">
        <f t="shared" si="1"/>
        <v/>
      </c>
      <c r="AV11" s="99" t="str">
        <f t="shared" si="1"/>
        <v/>
      </c>
      <c r="AW11" s="99" t="str">
        <f t="shared" si="1"/>
        <v/>
      </c>
      <c r="AX11" s="99" t="str">
        <f t="shared" si="1"/>
        <v/>
      </c>
      <c r="AY11" s="99" t="str">
        <f t="shared" si="1"/>
        <v/>
      </c>
      <c r="AZ11" s="99" t="str">
        <f t="shared" si="1"/>
        <v/>
      </c>
      <c r="BA11" s="99" t="str">
        <f t="shared" si="1"/>
        <v/>
      </c>
      <c r="BB11" s="99" t="str">
        <f t="shared" si="1"/>
        <v/>
      </c>
      <c r="BC11" s="99" t="str">
        <f t="shared" si="1"/>
        <v/>
      </c>
      <c r="BD11" s="99" t="str">
        <f t="shared" si="1"/>
        <v/>
      </c>
      <c r="BE11" s="99" t="str">
        <f t="shared" si="1"/>
        <v/>
      </c>
      <c r="BF11" s="99" t="str">
        <f t="shared" si="1"/>
        <v/>
      </c>
      <c r="BG11" s="99" t="str">
        <f t="shared" si="1"/>
        <v/>
      </c>
      <c r="BH11" s="99" t="str">
        <f t="shared" si="1"/>
        <v/>
      </c>
      <c r="BI11" s="99" t="str">
        <f t="shared" si="1"/>
        <v/>
      </c>
      <c r="BJ11" s="99" t="str">
        <f t="shared" si="1"/>
        <v/>
      </c>
      <c r="BK11" s="99" t="str">
        <f t="shared" si="1"/>
        <v/>
      </c>
      <c r="BL11" s="99" t="str">
        <f t="shared" si="1"/>
        <v/>
      </c>
    </row>
    <row r="12" spans="1:64">
      <c r="C12" s="58"/>
      <c r="D12" s="58"/>
      <c r="E12" s="58"/>
      <c r="F12" s="58"/>
      <c r="G12" s="58"/>
      <c r="H12" s="58"/>
      <c r="I12" s="58"/>
      <c r="J12" s="58"/>
      <c r="K12" s="58"/>
      <c r="L12" s="58"/>
      <c r="M12" s="58"/>
      <c r="N12" s="58"/>
      <c r="AH12" s="33" t="s">
        <v>48</v>
      </c>
      <c r="AI12" s="99" t="str">
        <f t="shared" ref="AI12:BL12" si="2">$C$8</f>
        <v/>
      </c>
      <c r="AJ12" s="99" t="str">
        <f t="shared" si="2"/>
        <v/>
      </c>
      <c r="AK12" s="99" t="str">
        <f t="shared" si="2"/>
        <v/>
      </c>
      <c r="AL12" s="99" t="str">
        <f t="shared" si="2"/>
        <v/>
      </c>
      <c r="AM12" s="99" t="str">
        <f t="shared" si="2"/>
        <v/>
      </c>
      <c r="AN12" s="99" t="str">
        <f t="shared" si="2"/>
        <v/>
      </c>
      <c r="AO12" s="99" t="str">
        <f t="shared" si="2"/>
        <v/>
      </c>
      <c r="AP12" s="99" t="str">
        <f t="shared" si="2"/>
        <v/>
      </c>
      <c r="AQ12" s="99" t="str">
        <f t="shared" si="2"/>
        <v/>
      </c>
      <c r="AR12" s="99" t="str">
        <f t="shared" si="2"/>
        <v/>
      </c>
      <c r="AS12" s="99" t="str">
        <f t="shared" si="2"/>
        <v/>
      </c>
      <c r="AT12" s="99" t="str">
        <f t="shared" si="2"/>
        <v/>
      </c>
      <c r="AU12" s="99" t="str">
        <f t="shared" si="2"/>
        <v/>
      </c>
      <c r="AV12" s="99" t="str">
        <f t="shared" si="2"/>
        <v/>
      </c>
      <c r="AW12" s="99" t="str">
        <f t="shared" si="2"/>
        <v/>
      </c>
      <c r="AX12" s="99" t="str">
        <f t="shared" si="2"/>
        <v/>
      </c>
      <c r="AY12" s="99" t="str">
        <f t="shared" si="2"/>
        <v/>
      </c>
      <c r="AZ12" s="99" t="str">
        <f t="shared" si="2"/>
        <v/>
      </c>
      <c r="BA12" s="99" t="str">
        <f t="shared" si="2"/>
        <v/>
      </c>
      <c r="BB12" s="99" t="str">
        <f t="shared" si="2"/>
        <v/>
      </c>
      <c r="BC12" s="99" t="str">
        <f t="shared" si="2"/>
        <v/>
      </c>
      <c r="BD12" s="99" t="str">
        <f t="shared" si="2"/>
        <v/>
      </c>
      <c r="BE12" s="99" t="str">
        <f t="shared" si="2"/>
        <v/>
      </c>
      <c r="BF12" s="99" t="str">
        <f t="shared" si="2"/>
        <v/>
      </c>
      <c r="BG12" s="99" t="str">
        <f t="shared" si="2"/>
        <v/>
      </c>
      <c r="BH12" s="99" t="str">
        <f t="shared" si="2"/>
        <v/>
      </c>
      <c r="BI12" s="99" t="str">
        <f t="shared" si="2"/>
        <v/>
      </c>
      <c r="BJ12" s="99" t="str">
        <f t="shared" si="2"/>
        <v/>
      </c>
      <c r="BK12" s="99" t="str">
        <f t="shared" si="2"/>
        <v/>
      </c>
      <c r="BL12" s="99" t="str">
        <f t="shared" si="2"/>
        <v/>
      </c>
    </row>
    <row r="13" spans="1:64">
      <c r="C13" s="58"/>
      <c r="D13" s="58"/>
      <c r="E13" s="58"/>
      <c r="F13" s="58"/>
      <c r="G13" s="58"/>
      <c r="H13" s="58"/>
      <c r="I13" s="58"/>
      <c r="J13" s="58"/>
      <c r="K13" s="58"/>
      <c r="L13" s="58"/>
      <c r="M13" s="58"/>
      <c r="N13" s="58"/>
      <c r="AH13" s="33" t="s">
        <v>16</v>
      </c>
      <c r="AI13" s="99" t="str">
        <f>C58</f>
        <v/>
      </c>
      <c r="AJ13" s="99" t="str">
        <f>IF(D52&lt;&gt;"",D58,AJ12)</f>
        <v/>
      </c>
      <c r="AK13" s="99" t="str">
        <f t="shared" ref="AK13:BL13" si="3">IF(E52&lt;&gt;"",E58,AK12)</f>
        <v/>
      </c>
      <c r="AL13" s="99" t="str">
        <f t="shared" si="3"/>
        <v/>
      </c>
      <c r="AM13" s="99" t="str">
        <f t="shared" si="3"/>
        <v/>
      </c>
      <c r="AN13" s="99" t="str">
        <f t="shared" si="3"/>
        <v/>
      </c>
      <c r="AO13" s="99" t="str">
        <f t="shared" si="3"/>
        <v/>
      </c>
      <c r="AP13" s="99" t="str">
        <f t="shared" si="3"/>
        <v/>
      </c>
      <c r="AQ13" s="99" t="str">
        <f t="shared" si="3"/>
        <v/>
      </c>
      <c r="AR13" s="99" t="str">
        <f t="shared" si="3"/>
        <v/>
      </c>
      <c r="AS13" s="99" t="str">
        <f t="shared" si="3"/>
        <v/>
      </c>
      <c r="AT13" s="99" t="str">
        <f t="shared" si="3"/>
        <v/>
      </c>
      <c r="AU13" s="99" t="str">
        <f t="shared" si="3"/>
        <v/>
      </c>
      <c r="AV13" s="99" t="str">
        <f t="shared" si="3"/>
        <v/>
      </c>
      <c r="AW13" s="99" t="str">
        <f t="shared" si="3"/>
        <v/>
      </c>
      <c r="AX13" s="99" t="str">
        <f t="shared" si="3"/>
        <v/>
      </c>
      <c r="AY13" s="99" t="str">
        <f t="shared" si="3"/>
        <v/>
      </c>
      <c r="AZ13" s="99" t="str">
        <f t="shared" si="3"/>
        <v/>
      </c>
      <c r="BA13" s="99" t="str">
        <f t="shared" si="3"/>
        <v/>
      </c>
      <c r="BB13" s="99" t="str">
        <f t="shared" si="3"/>
        <v/>
      </c>
      <c r="BC13" s="99" t="str">
        <f t="shared" si="3"/>
        <v/>
      </c>
      <c r="BD13" s="99" t="str">
        <f t="shared" si="3"/>
        <v/>
      </c>
      <c r="BE13" s="99" t="str">
        <f t="shared" si="3"/>
        <v/>
      </c>
      <c r="BF13" s="99" t="str">
        <f t="shared" si="3"/>
        <v/>
      </c>
      <c r="BG13" s="99" t="str">
        <f t="shared" si="3"/>
        <v/>
      </c>
      <c r="BH13" s="99" t="str">
        <f t="shared" si="3"/>
        <v/>
      </c>
      <c r="BI13" s="99" t="str">
        <f t="shared" si="3"/>
        <v/>
      </c>
      <c r="BJ13" s="99" t="str">
        <f t="shared" si="3"/>
        <v/>
      </c>
      <c r="BK13" s="99" t="str">
        <f t="shared" si="3"/>
        <v/>
      </c>
      <c r="BL13" s="99" t="str">
        <f t="shared" si="3"/>
        <v/>
      </c>
    </row>
    <row r="14" spans="1:64">
      <c r="C14" s="58"/>
      <c r="D14" s="58"/>
      <c r="E14" s="58"/>
      <c r="F14" s="58"/>
      <c r="G14" s="58"/>
      <c r="H14" s="58"/>
      <c r="I14" s="58"/>
      <c r="J14" s="58"/>
      <c r="K14" s="58"/>
      <c r="L14" s="58"/>
      <c r="M14" s="58"/>
      <c r="N14" s="58"/>
      <c r="AH14" s="33" t="s">
        <v>120</v>
      </c>
      <c r="AI14" s="99" t="str">
        <f t="shared" ref="AI14:BL14" si="4">$M$8</f>
        <v/>
      </c>
      <c r="AJ14" s="99" t="str">
        <f t="shared" si="4"/>
        <v/>
      </c>
      <c r="AK14" s="99" t="str">
        <f t="shared" si="4"/>
        <v/>
      </c>
      <c r="AL14" s="99" t="str">
        <f t="shared" si="4"/>
        <v/>
      </c>
      <c r="AM14" s="99" t="str">
        <f t="shared" si="4"/>
        <v/>
      </c>
      <c r="AN14" s="99" t="str">
        <f t="shared" si="4"/>
        <v/>
      </c>
      <c r="AO14" s="99" t="str">
        <f t="shared" si="4"/>
        <v/>
      </c>
      <c r="AP14" s="99" t="str">
        <f t="shared" si="4"/>
        <v/>
      </c>
      <c r="AQ14" s="99" t="str">
        <f t="shared" si="4"/>
        <v/>
      </c>
      <c r="AR14" s="99" t="str">
        <f t="shared" si="4"/>
        <v/>
      </c>
      <c r="AS14" s="99" t="str">
        <f t="shared" si="4"/>
        <v/>
      </c>
      <c r="AT14" s="99" t="str">
        <f t="shared" si="4"/>
        <v/>
      </c>
      <c r="AU14" s="99" t="str">
        <f t="shared" si="4"/>
        <v/>
      </c>
      <c r="AV14" s="99" t="str">
        <f t="shared" si="4"/>
        <v/>
      </c>
      <c r="AW14" s="99" t="str">
        <f t="shared" si="4"/>
        <v/>
      </c>
      <c r="AX14" s="99" t="str">
        <f t="shared" si="4"/>
        <v/>
      </c>
      <c r="AY14" s="99" t="str">
        <f t="shared" si="4"/>
        <v/>
      </c>
      <c r="AZ14" s="99" t="str">
        <f t="shared" si="4"/>
        <v/>
      </c>
      <c r="BA14" s="99" t="str">
        <f t="shared" si="4"/>
        <v/>
      </c>
      <c r="BB14" s="99" t="str">
        <f t="shared" si="4"/>
        <v/>
      </c>
      <c r="BC14" s="99" t="str">
        <f t="shared" si="4"/>
        <v/>
      </c>
      <c r="BD14" s="99" t="str">
        <f t="shared" si="4"/>
        <v/>
      </c>
      <c r="BE14" s="99" t="str">
        <f t="shared" si="4"/>
        <v/>
      </c>
      <c r="BF14" s="99" t="str">
        <f t="shared" si="4"/>
        <v/>
      </c>
      <c r="BG14" s="99" t="str">
        <f t="shared" si="4"/>
        <v/>
      </c>
      <c r="BH14" s="99" t="str">
        <f t="shared" si="4"/>
        <v/>
      </c>
      <c r="BI14" s="99" t="str">
        <f t="shared" si="4"/>
        <v/>
      </c>
      <c r="BJ14" s="99" t="str">
        <f t="shared" si="4"/>
        <v/>
      </c>
      <c r="BK14" s="99" t="str">
        <f t="shared" si="4"/>
        <v/>
      </c>
      <c r="BL14" s="99" t="str">
        <f t="shared" si="4"/>
        <v/>
      </c>
    </row>
    <row r="15" spans="1:64">
      <c r="C15" s="58"/>
      <c r="D15" s="58"/>
      <c r="E15" s="58"/>
      <c r="F15" s="58"/>
      <c r="G15" s="58"/>
      <c r="H15" s="58"/>
      <c r="I15" s="58"/>
      <c r="J15" s="58"/>
      <c r="K15" s="58"/>
      <c r="L15" s="58"/>
      <c r="M15" s="58"/>
      <c r="N15" s="58"/>
    </row>
    <row r="16" spans="1:64" ht="15.75">
      <c r="C16" s="58"/>
      <c r="D16" s="58"/>
      <c r="E16" s="58"/>
      <c r="F16" s="58"/>
      <c r="G16" s="58"/>
      <c r="H16" s="58"/>
      <c r="I16" s="58"/>
      <c r="J16" s="58"/>
      <c r="K16" s="58"/>
      <c r="L16" s="58"/>
      <c r="M16" s="58"/>
      <c r="N16" s="58"/>
      <c r="AH16" s="33" t="s">
        <v>132</v>
      </c>
      <c r="AI16" s="194">
        <f>IF(COUNT(C52:C56)=5,0.577,IF(COUNT(C52:C56)=4,0.729,IF(COUNT(C52:C56)=3,1.023,1.88)))</f>
        <v>1.88</v>
      </c>
    </row>
    <row r="17" spans="2:119">
      <c r="C17" s="58"/>
      <c r="D17" s="58"/>
      <c r="E17" s="58"/>
      <c r="F17" s="58"/>
      <c r="G17" s="58"/>
      <c r="H17" s="58"/>
      <c r="I17" s="58"/>
      <c r="J17" s="58"/>
      <c r="K17" s="58"/>
      <c r="L17" s="58"/>
      <c r="M17" s="58"/>
      <c r="N17" s="58"/>
    </row>
    <row r="18" spans="2:119">
      <c r="C18" s="58"/>
      <c r="D18" s="58"/>
      <c r="E18" s="58"/>
      <c r="F18" s="58"/>
      <c r="G18" s="58"/>
      <c r="H18" s="58"/>
      <c r="I18" s="58"/>
      <c r="J18" s="58"/>
      <c r="K18" s="58"/>
      <c r="L18" s="58"/>
      <c r="M18" s="58"/>
      <c r="N18" s="58"/>
    </row>
    <row r="19" spans="2:119">
      <c r="C19" s="58"/>
      <c r="D19" s="58"/>
      <c r="E19" s="58"/>
      <c r="F19" s="58"/>
      <c r="G19" s="58"/>
      <c r="H19" s="58"/>
      <c r="I19" s="58"/>
      <c r="J19" s="58"/>
      <c r="K19" s="58"/>
      <c r="L19" s="58"/>
      <c r="M19" s="58"/>
      <c r="N19" s="58"/>
    </row>
    <row r="20" spans="2:119">
      <c r="C20" s="58"/>
      <c r="D20" s="58"/>
      <c r="E20" s="58"/>
      <c r="F20" s="58"/>
      <c r="G20" s="58"/>
      <c r="H20" s="58"/>
      <c r="I20" s="58"/>
      <c r="J20" s="58"/>
      <c r="K20" s="58"/>
      <c r="L20" s="58"/>
      <c r="M20" s="58"/>
      <c r="N20" s="58"/>
    </row>
    <row r="21" spans="2:119">
      <c r="C21" s="58"/>
      <c r="D21" s="58"/>
      <c r="E21" s="58"/>
      <c r="F21" s="58"/>
      <c r="G21" s="58"/>
      <c r="H21" s="58"/>
      <c r="I21" s="58"/>
      <c r="J21" s="58"/>
      <c r="K21" s="58"/>
      <c r="L21" s="58"/>
      <c r="M21" s="58"/>
      <c r="N21" s="58"/>
    </row>
    <row r="22" spans="2:119">
      <c r="C22" s="58"/>
      <c r="D22" s="58"/>
      <c r="E22" s="58"/>
      <c r="F22" s="58"/>
      <c r="G22" s="58"/>
      <c r="H22" s="58"/>
      <c r="I22" s="58"/>
      <c r="J22" s="58"/>
      <c r="K22" s="58"/>
      <c r="L22" s="58"/>
      <c r="M22" s="58"/>
      <c r="N22" s="58"/>
    </row>
    <row r="23" spans="2:119">
      <c r="C23" s="58"/>
      <c r="D23" s="58"/>
      <c r="E23" s="58"/>
      <c r="F23" s="58"/>
      <c r="G23" s="58"/>
      <c r="H23" s="58"/>
      <c r="I23" s="58"/>
      <c r="J23" s="58"/>
      <c r="K23" s="58"/>
      <c r="L23" s="58"/>
      <c r="M23" s="58"/>
      <c r="N23" s="58"/>
    </row>
    <row r="24" spans="2:119">
      <c r="C24" s="58"/>
      <c r="D24" s="58"/>
      <c r="E24" s="58"/>
      <c r="F24" s="58"/>
      <c r="G24" s="58"/>
      <c r="H24" s="58"/>
      <c r="I24" s="58"/>
      <c r="J24" s="58"/>
      <c r="K24" s="58"/>
      <c r="L24" s="58"/>
      <c r="M24" s="58"/>
      <c r="N24" s="58"/>
    </row>
    <row r="25" spans="2:119">
      <c r="C25" s="58"/>
      <c r="D25" s="58"/>
      <c r="E25" s="58"/>
      <c r="F25" s="58"/>
      <c r="G25" s="58"/>
      <c r="H25" s="58"/>
      <c r="I25" s="58"/>
      <c r="J25" s="58"/>
      <c r="K25" s="58"/>
      <c r="L25" s="58"/>
      <c r="M25" s="58"/>
      <c r="N25" s="58"/>
    </row>
    <row r="26" spans="2:119">
      <c r="C26" s="58"/>
      <c r="D26" s="58"/>
      <c r="E26" s="58"/>
      <c r="F26" s="58"/>
      <c r="G26" s="58"/>
      <c r="H26" s="58"/>
      <c r="I26" s="58"/>
      <c r="J26" s="58"/>
      <c r="K26" s="58"/>
      <c r="L26" s="58"/>
      <c r="M26" s="58"/>
      <c r="N26" s="58"/>
    </row>
    <row r="27" spans="2:119">
      <c r="C27" s="58"/>
      <c r="D27" s="58"/>
      <c r="E27" s="58"/>
      <c r="F27" s="58"/>
      <c r="G27" s="58"/>
      <c r="H27" s="58"/>
      <c r="I27" s="58"/>
      <c r="J27" s="58"/>
      <c r="K27" s="58"/>
      <c r="L27" s="58"/>
      <c r="M27" s="58"/>
      <c r="N27" s="58"/>
    </row>
    <row r="28" spans="2:119">
      <c r="C28" s="58"/>
      <c r="D28" s="58"/>
      <c r="E28" s="58"/>
      <c r="F28" s="58"/>
      <c r="G28" s="58"/>
      <c r="H28" s="58"/>
      <c r="I28" s="58"/>
      <c r="J28" s="58"/>
      <c r="K28" s="58"/>
      <c r="L28" s="58"/>
      <c r="M28" s="58"/>
      <c r="N28" s="58"/>
    </row>
    <row r="29" spans="2:119" s="4" customFormat="1">
      <c r="B29" s="124" t="s">
        <v>121</v>
      </c>
      <c r="C29" s="868" t="str">
        <f>IF(C59&lt;&gt;"",AVERAGE(C59:AF59),"")</f>
        <v/>
      </c>
      <c r="D29" s="868"/>
      <c r="E29" s="95"/>
      <c r="F29" s="96" t="s">
        <v>114</v>
      </c>
      <c r="G29" s="96"/>
      <c r="H29" s="868" t="str">
        <f>IF(C52="","",IF(COUNT(C52:C56)=5,AI34*2.115,IF(COUNT(C52:C56)=4,AI34*2.282,IF(COUNT(C52:C56)=3,AI34*2.575,AI34*3.267))))</f>
        <v/>
      </c>
      <c r="I29" s="868"/>
      <c r="J29" s="95"/>
      <c r="K29" s="96" t="s">
        <v>115</v>
      </c>
      <c r="L29" s="96"/>
      <c r="M29" s="868" t="str">
        <f>IF(C52&lt;&gt;"",0,"")</f>
        <v/>
      </c>
      <c r="N29" s="869"/>
      <c r="T29" s="26" t="s">
        <v>122</v>
      </c>
      <c r="AG29"/>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row>
    <row r="30" spans="2:119">
      <c r="AH30" s="33" t="s">
        <v>123</v>
      </c>
    </row>
    <row r="32" spans="2:119">
      <c r="AH32" s="33" t="s">
        <v>118</v>
      </c>
      <c r="AI32" s="98">
        <v>1</v>
      </c>
      <c r="AJ32" s="98">
        <f t="shared" ref="AJ32:AS32" si="5">AI32+1</f>
        <v>2</v>
      </c>
      <c r="AK32" s="98">
        <f t="shared" si="5"/>
        <v>3</v>
      </c>
      <c r="AL32" s="98">
        <f t="shared" si="5"/>
        <v>4</v>
      </c>
      <c r="AM32" s="98">
        <f t="shared" si="5"/>
        <v>5</v>
      </c>
      <c r="AN32" s="98">
        <f t="shared" si="5"/>
        <v>6</v>
      </c>
      <c r="AO32" s="98">
        <f t="shared" si="5"/>
        <v>7</v>
      </c>
      <c r="AP32" s="98">
        <f t="shared" si="5"/>
        <v>8</v>
      </c>
      <c r="AQ32" s="98">
        <f t="shared" si="5"/>
        <v>9</v>
      </c>
      <c r="AR32" s="98">
        <f t="shared" si="5"/>
        <v>10</v>
      </c>
      <c r="AS32" s="98">
        <f t="shared" si="5"/>
        <v>11</v>
      </c>
      <c r="AT32" s="98">
        <f t="shared" ref="AT32:BC32" si="6">AS32+1</f>
        <v>12</v>
      </c>
      <c r="AU32" s="98">
        <f t="shared" si="6"/>
        <v>13</v>
      </c>
      <c r="AV32" s="98">
        <f t="shared" si="6"/>
        <v>14</v>
      </c>
      <c r="AW32" s="98">
        <f t="shared" si="6"/>
        <v>15</v>
      </c>
      <c r="AX32" s="98">
        <f t="shared" si="6"/>
        <v>16</v>
      </c>
      <c r="AY32" s="98">
        <f t="shared" si="6"/>
        <v>17</v>
      </c>
      <c r="AZ32" s="98">
        <f t="shared" si="6"/>
        <v>18</v>
      </c>
      <c r="BA32" s="98">
        <f t="shared" si="6"/>
        <v>19</v>
      </c>
      <c r="BB32" s="98">
        <f t="shared" si="6"/>
        <v>20</v>
      </c>
      <c r="BC32" s="98">
        <f t="shared" si="6"/>
        <v>21</v>
      </c>
      <c r="BD32" s="98">
        <f t="shared" ref="BD32:BL32" si="7">BC32+1</f>
        <v>22</v>
      </c>
      <c r="BE32" s="98">
        <f t="shared" si="7"/>
        <v>23</v>
      </c>
      <c r="BF32" s="98">
        <f t="shared" si="7"/>
        <v>24</v>
      </c>
      <c r="BG32" s="98">
        <f t="shared" si="7"/>
        <v>25</v>
      </c>
      <c r="BH32" s="98">
        <f t="shared" si="7"/>
        <v>26</v>
      </c>
      <c r="BI32" s="98">
        <f t="shared" si="7"/>
        <v>27</v>
      </c>
      <c r="BJ32" s="98">
        <f t="shared" si="7"/>
        <v>28</v>
      </c>
      <c r="BK32" s="98">
        <f t="shared" si="7"/>
        <v>29</v>
      </c>
      <c r="BL32" s="98">
        <f t="shared" si="7"/>
        <v>30</v>
      </c>
    </row>
    <row r="33" spans="34:64">
      <c r="AH33" s="33" t="s">
        <v>119</v>
      </c>
      <c r="AI33" s="99" t="str">
        <f t="shared" ref="AI33:BL33" si="8">$H$29</f>
        <v/>
      </c>
      <c r="AJ33" s="99" t="str">
        <f t="shared" si="8"/>
        <v/>
      </c>
      <c r="AK33" s="99" t="str">
        <f t="shared" si="8"/>
        <v/>
      </c>
      <c r="AL33" s="99" t="str">
        <f t="shared" si="8"/>
        <v/>
      </c>
      <c r="AM33" s="99" t="str">
        <f t="shared" si="8"/>
        <v/>
      </c>
      <c r="AN33" s="99" t="str">
        <f t="shared" si="8"/>
        <v/>
      </c>
      <c r="AO33" s="99" t="str">
        <f t="shared" si="8"/>
        <v/>
      </c>
      <c r="AP33" s="99" t="str">
        <f t="shared" si="8"/>
        <v/>
      </c>
      <c r="AQ33" s="99" t="str">
        <f t="shared" si="8"/>
        <v/>
      </c>
      <c r="AR33" s="99" t="str">
        <f t="shared" si="8"/>
        <v/>
      </c>
      <c r="AS33" s="99" t="str">
        <f t="shared" si="8"/>
        <v/>
      </c>
      <c r="AT33" s="99" t="str">
        <f t="shared" si="8"/>
        <v/>
      </c>
      <c r="AU33" s="99" t="str">
        <f t="shared" si="8"/>
        <v/>
      </c>
      <c r="AV33" s="99" t="str">
        <f t="shared" si="8"/>
        <v/>
      </c>
      <c r="AW33" s="99" t="str">
        <f t="shared" si="8"/>
        <v/>
      </c>
      <c r="AX33" s="99" t="str">
        <f t="shared" si="8"/>
        <v/>
      </c>
      <c r="AY33" s="99" t="str">
        <f t="shared" si="8"/>
        <v/>
      </c>
      <c r="AZ33" s="99" t="str">
        <f t="shared" si="8"/>
        <v/>
      </c>
      <c r="BA33" s="99" t="str">
        <f t="shared" si="8"/>
        <v/>
      </c>
      <c r="BB33" s="99" t="str">
        <f t="shared" si="8"/>
        <v/>
      </c>
      <c r="BC33" s="99" t="str">
        <f t="shared" si="8"/>
        <v/>
      </c>
      <c r="BD33" s="99" t="str">
        <f t="shared" si="8"/>
        <v/>
      </c>
      <c r="BE33" s="99" t="str">
        <f t="shared" si="8"/>
        <v/>
      </c>
      <c r="BF33" s="99" t="str">
        <f t="shared" si="8"/>
        <v/>
      </c>
      <c r="BG33" s="99" t="str">
        <f t="shared" si="8"/>
        <v/>
      </c>
      <c r="BH33" s="99" t="str">
        <f t="shared" si="8"/>
        <v/>
      </c>
      <c r="BI33" s="99" t="str">
        <f t="shared" si="8"/>
        <v/>
      </c>
      <c r="BJ33" s="99" t="str">
        <f t="shared" si="8"/>
        <v/>
      </c>
      <c r="BK33" s="99" t="str">
        <f t="shared" si="8"/>
        <v/>
      </c>
      <c r="BL33" s="99" t="str">
        <f t="shared" si="8"/>
        <v/>
      </c>
    </row>
    <row r="34" spans="34:64">
      <c r="AH34" s="33" t="s">
        <v>48</v>
      </c>
      <c r="AI34" s="99" t="e">
        <f>AVERAGE(C59:AF59)</f>
        <v>#DIV/0!</v>
      </c>
      <c r="AJ34" s="99" t="e">
        <f t="shared" ref="AJ34:BL34" si="9">$AI$34</f>
        <v>#DIV/0!</v>
      </c>
      <c r="AK34" s="99" t="e">
        <f t="shared" si="9"/>
        <v>#DIV/0!</v>
      </c>
      <c r="AL34" s="99" t="e">
        <f t="shared" si="9"/>
        <v>#DIV/0!</v>
      </c>
      <c r="AM34" s="99" t="e">
        <f t="shared" si="9"/>
        <v>#DIV/0!</v>
      </c>
      <c r="AN34" s="99" t="e">
        <f t="shared" si="9"/>
        <v>#DIV/0!</v>
      </c>
      <c r="AO34" s="99" t="e">
        <f t="shared" si="9"/>
        <v>#DIV/0!</v>
      </c>
      <c r="AP34" s="99" t="e">
        <f t="shared" si="9"/>
        <v>#DIV/0!</v>
      </c>
      <c r="AQ34" s="99" t="e">
        <f t="shared" si="9"/>
        <v>#DIV/0!</v>
      </c>
      <c r="AR34" s="99" t="e">
        <f t="shared" si="9"/>
        <v>#DIV/0!</v>
      </c>
      <c r="AS34" s="99" t="e">
        <f t="shared" si="9"/>
        <v>#DIV/0!</v>
      </c>
      <c r="AT34" s="99" t="e">
        <f t="shared" si="9"/>
        <v>#DIV/0!</v>
      </c>
      <c r="AU34" s="99" t="e">
        <f t="shared" si="9"/>
        <v>#DIV/0!</v>
      </c>
      <c r="AV34" s="99" t="e">
        <f t="shared" si="9"/>
        <v>#DIV/0!</v>
      </c>
      <c r="AW34" s="99" t="e">
        <f t="shared" si="9"/>
        <v>#DIV/0!</v>
      </c>
      <c r="AX34" s="99" t="e">
        <f t="shared" si="9"/>
        <v>#DIV/0!</v>
      </c>
      <c r="AY34" s="99" t="e">
        <f t="shared" si="9"/>
        <v>#DIV/0!</v>
      </c>
      <c r="AZ34" s="99" t="e">
        <f t="shared" si="9"/>
        <v>#DIV/0!</v>
      </c>
      <c r="BA34" s="99" t="e">
        <f t="shared" si="9"/>
        <v>#DIV/0!</v>
      </c>
      <c r="BB34" s="99" t="e">
        <f t="shared" si="9"/>
        <v>#DIV/0!</v>
      </c>
      <c r="BC34" s="99" t="e">
        <f t="shared" si="9"/>
        <v>#DIV/0!</v>
      </c>
      <c r="BD34" s="99" t="e">
        <f t="shared" si="9"/>
        <v>#DIV/0!</v>
      </c>
      <c r="BE34" s="99" t="e">
        <f t="shared" si="9"/>
        <v>#DIV/0!</v>
      </c>
      <c r="BF34" s="99" t="e">
        <f t="shared" si="9"/>
        <v>#DIV/0!</v>
      </c>
      <c r="BG34" s="99" t="e">
        <f t="shared" si="9"/>
        <v>#DIV/0!</v>
      </c>
      <c r="BH34" s="99" t="e">
        <f t="shared" si="9"/>
        <v>#DIV/0!</v>
      </c>
      <c r="BI34" s="99" t="e">
        <f t="shared" si="9"/>
        <v>#DIV/0!</v>
      </c>
      <c r="BJ34" s="99" t="e">
        <f t="shared" si="9"/>
        <v>#DIV/0!</v>
      </c>
      <c r="BK34" s="99" t="e">
        <f t="shared" si="9"/>
        <v>#DIV/0!</v>
      </c>
      <c r="BL34" s="99" t="e">
        <f t="shared" si="9"/>
        <v>#DIV/0!</v>
      </c>
    </row>
    <row r="35" spans="34:64">
      <c r="AH35" s="33" t="s">
        <v>124</v>
      </c>
      <c r="AI35" s="99" t="str">
        <f t="shared" ref="AI35:BL35" si="10">C59</f>
        <v/>
      </c>
      <c r="AJ35" s="99" t="str">
        <f t="shared" si="10"/>
        <v/>
      </c>
      <c r="AK35" s="99" t="str">
        <f t="shared" si="10"/>
        <v/>
      </c>
      <c r="AL35" s="99" t="str">
        <f t="shared" si="10"/>
        <v/>
      </c>
      <c r="AM35" s="99" t="str">
        <f t="shared" si="10"/>
        <v/>
      </c>
      <c r="AN35" s="99" t="str">
        <f t="shared" si="10"/>
        <v/>
      </c>
      <c r="AO35" s="99" t="str">
        <f t="shared" si="10"/>
        <v/>
      </c>
      <c r="AP35" s="99" t="str">
        <f t="shared" si="10"/>
        <v/>
      </c>
      <c r="AQ35" s="99" t="str">
        <f t="shared" si="10"/>
        <v/>
      </c>
      <c r="AR35" s="99" t="str">
        <f t="shared" si="10"/>
        <v/>
      </c>
      <c r="AS35" s="99" t="str">
        <f t="shared" si="10"/>
        <v/>
      </c>
      <c r="AT35" s="99" t="str">
        <f t="shared" si="10"/>
        <v/>
      </c>
      <c r="AU35" s="99" t="str">
        <f t="shared" si="10"/>
        <v/>
      </c>
      <c r="AV35" s="99" t="str">
        <f t="shared" si="10"/>
        <v/>
      </c>
      <c r="AW35" s="99" t="str">
        <f t="shared" si="10"/>
        <v/>
      </c>
      <c r="AX35" s="99" t="str">
        <f t="shared" si="10"/>
        <v/>
      </c>
      <c r="AY35" s="99" t="str">
        <f t="shared" si="10"/>
        <v/>
      </c>
      <c r="AZ35" s="99" t="str">
        <f t="shared" si="10"/>
        <v/>
      </c>
      <c r="BA35" s="99" t="str">
        <f t="shared" si="10"/>
        <v/>
      </c>
      <c r="BB35" s="99" t="str">
        <f t="shared" si="10"/>
        <v/>
      </c>
      <c r="BC35" s="99" t="str">
        <f t="shared" si="10"/>
        <v/>
      </c>
      <c r="BD35" s="99" t="str">
        <f t="shared" si="10"/>
        <v/>
      </c>
      <c r="BE35" s="99" t="str">
        <f t="shared" si="10"/>
        <v/>
      </c>
      <c r="BF35" s="99" t="str">
        <f t="shared" si="10"/>
        <v/>
      </c>
      <c r="BG35" s="99" t="str">
        <f t="shared" si="10"/>
        <v/>
      </c>
      <c r="BH35" s="99" t="str">
        <f t="shared" si="10"/>
        <v/>
      </c>
      <c r="BI35" s="99" t="str">
        <f t="shared" si="10"/>
        <v/>
      </c>
      <c r="BJ35" s="99" t="str">
        <f t="shared" si="10"/>
        <v/>
      </c>
      <c r="BK35" s="99" t="str">
        <f t="shared" si="10"/>
        <v/>
      </c>
      <c r="BL35" s="99" t="str">
        <f t="shared" si="10"/>
        <v/>
      </c>
    </row>
    <row r="36" spans="34:64">
      <c r="AH36" s="33" t="s">
        <v>120</v>
      </c>
      <c r="AI36" s="99" t="str">
        <f t="shared" ref="AI36:BL36" si="11">$M$29</f>
        <v/>
      </c>
      <c r="AJ36" s="99" t="str">
        <f t="shared" si="11"/>
        <v/>
      </c>
      <c r="AK36" s="99" t="str">
        <f t="shared" si="11"/>
        <v/>
      </c>
      <c r="AL36" s="99" t="str">
        <f t="shared" si="11"/>
        <v/>
      </c>
      <c r="AM36" s="99" t="str">
        <f t="shared" si="11"/>
        <v/>
      </c>
      <c r="AN36" s="99" t="str">
        <f t="shared" si="11"/>
        <v/>
      </c>
      <c r="AO36" s="99" t="str">
        <f t="shared" si="11"/>
        <v/>
      </c>
      <c r="AP36" s="99" t="str">
        <f t="shared" si="11"/>
        <v/>
      </c>
      <c r="AQ36" s="99" t="str">
        <f t="shared" si="11"/>
        <v/>
      </c>
      <c r="AR36" s="99" t="str">
        <f t="shared" si="11"/>
        <v/>
      </c>
      <c r="AS36" s="99" t="str">
        <f t="shared" si="11"/>
        <v/>
      </c>
      <c r="AT36" s="99" t="str">
        <f t="shared" si="11"/>
        <v/>
      </c>
      <c r="AU36" s="99" t="str">
        <f t="shared" si="11"/>
        <v/>
      </c>
      <c r="AV36" s="99" t="str">
        <f t="shared" si="11"/>
        <v/>
      </c>
      <c r="AW36" s="99" t="str">
        <f t="shared" si="11"/>
        <v/>
      </c>
      <c r="AX36" s="99" t="str">
        <f t="shared" si="11"/>
        <v/>
      </c>
      <c r="AY36" s="99" t="str">
        <f t="shared" si="11"/>
        <v/>
      </c>
      <c r="AZ36" s="99" t="str">
        <f t="shared" si="11"/>
        <v/>
      </c>
      <c r="BA36" s="99" t="str">
        <f t="shared" si="11"/>
        <v/>
      </c>
      <c r="BB36" s="99" t="str">
        <f t="shared" si="11"/>
        <v/>
      </c>
      <c r="BC36" s="99" t="str">
        <f t="shared" si="11"/>
        <v/>
      </c>
      <c r="BD36" s="99" t="str">
        <f t="shared" si="11"/>
        <v/>
      </c>
      <c r="BE36" s="99" t="str">
        <f t="shared" si="11"/>
        <v/>
      </c>
      <c r="BF36" s="99" t="str">
        <f t="shared" si="11"/>
        <v/>
      </c>
      <c r="BG36" s="99" t="str">
        <f t="shared" si="11"/>
        <v/>
      </c>
      <c r="BH36" s="99" t="str">
        <f t="shared" si="11"/>
        <v/>
      </c>
      <c r="BI36" s="99" t="str">
        <f t="shared" si="11"/>
        <v/>
      </c>
      <c r="BJ36" s="99" t="str">
        <f t="shared" si="11"/>
        <v/>
      </c>
      <c r="BK36" s="99" t="str">
        <f t="shared" si="11"/>
        <v/>
      </c>
      <c r="BL36" s="99" t="str">
        <f t="shared" si="11"/>
        <v/>
      </c>
    </row>
    <row r="50" spans="1:119" s="85" customFormat="1" ht="18" customHeight="1">
      <c r="A50" s="171"/>
      <c r="B50" s="172"/>
      <c r="C50" s="876" t="s">
        <v>36</v>
      </c>
      <c r="D50" s="877"/>
      <c r="E50" s="877"/>
      <c r="F50" s="877"/>
      <c r="G50" s="877"/>
      <c r="H50" s="877"/>
      <c r="I50" s="877"/>
      <c r="J50" s="877"/>
      <c r="K50" s="877"/>
      <c r="L50" s="878"/>
      <c r="M50" s="876" t="s">
        <v>37</v>
      </c>
      <c r="N50" s="877"/>
      <c r="O50" s="877"/>
      <c r="P50" s="877"/>
      <c r="Q50" s="877"/>
      <c r="R50" s="877"/>
      <c r="S50" s="877"/>
      <c r="T50" s="877"/>
      <c r="U50" s="877"/>
      <c r="V50" s="878"/>
      <c r="W50" s="876" t="s">
        <v>112</v>
      </c>
      <c r="X50" s="877"/>
      <c r="Y50" s="877"/>
      <c r="Z50" s="877"/>
      <c r="AA50" s="877"/>
      <c r="AB50" s="877"/>
      <c r="AC50" s="877"/>
      <c r="AD50" s="877"/>
      <c r="AE50" s="877"/>
      <c r="AF50" s="878"/>
      <c r="AG50" s="97"/>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row>
    <row r="51" spans="1:119" s="85" customFormat="1" ht="24.95" customHeight="1">
      <c r="A51" s="874" t="s">
        <v>561</v>
      </c>
      <c r="B51" s="875"/>
      <c r="C51" s="100">
        <v>1</v>
      </c>
      <c r="D51" s="100">
        <f t="shared" ref="D51:L51" si="12">C51+1</f>
        <v>2</v>
      </c>
      <c r="E51" s="100">
        <f t="shared" si="12"/>
        <v>3</v>
      </c>
      <c r="F51" s="100">
        <f t="shared" si="12"/>
        <v>4</v>
      </c>
      <c r="G51" s="100">
        <f t="shared" si="12"/>
        <v>5</v>
      </c>
      <c r="H51" s="100">
        <f t="shared" si="12"/>
        <v>6</v>
      </c>
      <c r="I51" s="100">
        <f t="shared" si="12"/>
        <v>7</v>
      </c>
      <c r="J51" s="100">
        <f t="shared" si="12"/>
        <v>8</v>
      </c>
      <c r="K51" s="100">
        <f t="shared" si="12"/>
        <v>9</v>
      </c>
      <c r="L51" s="100">
        <f t="shared" si="12"/>
        <v>10</v>
      </c>
      <c r="M51" s="100">
        <v>1</v>
      </c>
      <c r="N51" s="100">
        <f t="shared" ref="N51:V51" si="13">M51+1</f>
        <v>2</v>
      </c>
      <c r="O51" s="100">
        <f t="shared" si="13"/>
        <v>3</v>
      </c>
      <c r="P51" s="100">
        <f t="shared" si="13"/>
        <v>4</v>
      </c>
      <c r="Q51" s="100">
        <f t="shared" si="13"/>
        <v>5</v>
      </c>
      <c r="R51" s="100">
        <f t="shared" si="13"/>
        <v>6</v>
      </c>
      <c r="S51" s="100">
        <f t="shared" si="13"/>
        <v>7</v>
      </c>
      <c r="T51" s="100">
        <f t="shared" si="13"/>
        <v>8</v>
      </c>
      <c r="U51" s="100">
        <f t="shared" si="13"/>
        <v>9</v>
      </c>
      <c r="V51" s="100">
        <f t="shared" si="13"/>
        <v>10</v>
      </c>
      <c r="W51" s="100">
        <v>1</v>
      </c>
      <c r="X51" s="100">
        <f t="shared" ref="X51:AF51" si="14">W51+1</f>
        <v>2</v>
      </c>
      <c r="Y51" s="100">
        <f t="shared" si="14"/>
        <v>3</v>
      </c>
      <c r="Z51" s="100">
        <f t="shared" si="14"/>
        <v>4</v>
      </c>
      <c r="AA51" s="100">
        <f t="shared" si="14"/>
        <v>5</v>
      </c>
      <c r="AB51" s="100">
        <f t="shared" si="14"/>
        <v>6</v>
      </c>
      <c r="AC51" s="100">
        <f t="shared" si="14"/>
        <v>7</v>
      </c>
      <c r="AD51" s="100">
        <f t="shared" si="14"/>
        <v>8</v>
      </c>
      <c r="AE51" s="100">
        <f t="shared" si="14"/>
        <v>9</v>
      </c>
      <c r="AF51" s="100">
        <f t="shared" si="14"/>
        <v>10</v>
      </c>
      <c r="AG51" s="97"/>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row>
    <row r="52" spans="1:119" s="85" customFormat="1" ht="23.25" customHeight="1">
      <c r="A52" s="93" t="s">
        <v>19</v>
      </c>
      <c r="B52" s="86">
        <v>1</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row>
    <row r="53" spans="1:119" s="85" customFormat="1" ht="23.25" customHeight="1">
      <c r="A53" s="88" t="s">
        <v>125</v>
      </c>
      <c r="B53" s="87">
        <v>2</v>
      </c>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row>
    <row r="54" spans="1:119" s="85" customFormat="1" ht="23.25" customHeight="1">
      <c r="A54" s="88" t="s">
        <v>126</v>
      </c>
      <c r="B54" s="87">
        <v>3</v>
      </c>
      <c r="C54" s="173"/>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row>
    <row r="55" spans="1:119" s="85" customFormat="1" ht="23.25" customHeight="1">
      <c r="A55" s="88" t="s">
        <v>127</v>
      </c>
      <c r="B55" s="87">
        <v>4</v>
      </c>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row>
    <row r="56" spans="1:119" s="85" customFormat="1" ht="23.25" customHeight="1">
      <c r="A56" s="94" t="s">
        <v>641</v>
      </c>
      <c r="B56" s="87">
        <v>5</v>
      </c>
      <c r="C56" s="173"/>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row>
    <row r="57" spans="1:119" s="85" customFormat="1" ht="24.95" customHeight="1">
      <c r="A57" s="89" t="s">
        <v>128</v>
      </c>
      <c r="B57" s="90"/>
      <c r="C57" s="174" t="str">
        <f>IF(C52&lt;&gt;"",SUM(C52:C56),"")</f>
        <v/>
      </c>
      <c r="D57" s="174" t="str">
        <f t="shared" ref="D57:S57" si="15">IF(D52&lt;&gt;"",SUM(D52:D56),"")</f>
        <v/>
      </c>
      <c r="E57" s="174" t="str">
        <f t="shared" si="15"/>
        <v/>
      </c>
      <c r="F57" s="174" t="str">
        <f t="shared" si="15"/>
        <v/>
      </c>
      <c r="G57" s="174" t="str">
        <f t="shared" si="15"/>
        <v/>
      </c>
      <c r="H57" s="174" t="str">
        <f t="shared" si="15"/>
        <v/>
      </c>
      <c r="I57" s="174" t="str">
        <f t="shared" si="15"/>
        <v/>
      </c>
      <c r="J57" s="174" t="str">
        <f t="shared" si="15"/>
        <v/>
      </c>
      <c r="K57" s="174" t="str">
        <f t="shared" si="15"/>
        <v/>
      </c>
      <c r="L57" s="174" t="str">
        <f t="shared" si="15"/>
        <v/>
      </c>
      <c r="M57" s="174" t="str">
        <f t="shared" si="15"/>
        <v/>
      </c>
      <c r="N57" s="174" t="str">
        <f t="shared" si="15"/>
        <v/>
      </c>
      <c r="O57" s="174" t="str">
        <f t="shared" si="15"/>
        <v/>
      </c>
      <c r="P57" s="174" t="str">
        <f t="shared" si="15"/>
        <v/>
      </c>
      <c r="Q57" s="174" t="str">
        <f t="shared" si="15"/>
        <v/>
      </c>
      <c r="R57" s="174" t="str">
        <f t="shared" si="15"/>
        <v/>
      </c>
      <c r="S57" s="174" t="str">
        <f t="shared" si="15"/>
        <v/>
      </c>
      <c r="T57" s="174" t="str">
        <f t="shared" ref="T57:AF57" si="16">IF(T52&lt;&gt;"",SUM(T52:T56),"")</f>
        <v/>
      </c>
      <c r="U57" s="174" t="str">
        <f t="shared" si="16"/>
        <v/>
      </c>
      <c r="V57" s="174" t="str">
        <f t="shared" si="16"/>
        <v/>
      </c>
      <c r="W57" s="174" t="str">
        <f t="shared" si="16"/>
        <v/>
      </c>
      <c r="X57" s="174" t="str">
        <f t="shared" si="16"/>
        <v/>
      </c>
      <c r="Y57" s="174" t="str">
        <f t="shared" si="16"/>
        <v/>
      </c>
      <c r="Z57" s="174" t="str">
        <f t="shared" si="16"/>
        <v/>
      </c>
      <c r="AA57" s="174" t="str">
        <f t="shared" si="16"/>
        <v/>
      </c>
      <c r="AB57" s="174" t="str">
        <f t="shared" si="16"/>
        <v/>
      </c>
      <c r="AC57" s="174" t="str">
        <f t="shared" si="16"/>
        <v/>
      </c>
      <c r="AD57" s="174" t="str">
        <f t="shared" si="16"/>
        <v/>
      </c>
      <c r="AE57" s="174" t="str">
        <f t="shared" si="16"/>
        <v/>
      </c>
      <c r="AF57" s="174" t="str">
        <f t="shared" si="16"/>
        <v/>
      </c>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row>
    <row r="58" spans="1:119" s="85" customFormat="1" ht="24.95" customHeight="1">
      <c r="A58" s="170" t="s">
        <v>423</v>
      </c>
      <c r="B58" s="92" t="s">
        <v>129</v>
      </c>
      <c r="C58" s="174" t="str">
        <f>IF(C52&lt;&gt;"",AVERAGE(C52:C56),"")</f>
        <v/>
      </c>
      <c r="D58" s="174" t="str">
        <f t="shared" ref="D58:S58" si="17">IF(D52&lt;&gt;"",AVERAGE(D52:D56),"")</f>
        <v/>
      </c>
      <c r="E58" s="174" t="str">
        <f t="shared" si="17"/>
        <v/>
      </c>
      <c r="F58" s="174" t="str">
        <f t="shared" si="17"/>
        <v/>
      </c>
      <c r="G58" s="174" t="str">
        <f t="shared" si="17"/>
        <v/>
      </c>
      <c r="H58" s="174" t="str">
        <f t="shared" si="17"/>
        <v/>
      </c>
      <c r="I58" s="174" t="str">
        <f t="shared" si="17"/>
        <v/>
      </c>
      <c r="J58" s="174" t="str">
        <f t="shared" si="17"/>
        <v/>
      </c>
      <c r="K58" s="174" t="str">
        <f t="shared" si="17"/>
        <v/>
      </c>
      <c r="L58" s="174" t="str">
        <f t="shared" si="17"/>
        <v/>
      </c>
      <c r="M58" s="174" t="str">
        <f t="shared" si="17"/>
        <v/>
      </c>
      <c r="N58" s="174" t="str">
        <f t="shared" si="17"/>
        <v/>
      </c>
      <c r="O58" s="174" t="str">
        <f t="shared" si="17"/>
        <v/>
      </c>
      <c r="P58" s="174" t="str">
        <f t="shared" si="17"/>
        <v/>
      </c>
      <c r="Q58" s="174" t="str">
        <f t="shared" si="17"/>
        <v/>
      </c>
      <c r="R58" s="174" t="str">
        <f t="shared" si="17"/>
        <v/>
      </c>
      <c r="S58" s="174" t="str">
        <f t="shared" si="17"/>
        <v/>
      </c>
      <c r="T58" s="174" t="str">
        <f t="shared" ref="T58:AF58" si="18">IF(T52&lt;&gt;"",AVERAGE(T52:T56),"")</f>
        <v/>
      </c>
      <c r="U58" s="174" t="str">
        <f t="shared" si="18"/>
        <v/>
      </c>
      <c r="V58" s="174" t="str">
        <f t="shared" si="18"/>
        <v/>
      </c>
      <c r="W58" s="174" t="str">
        <f t="shared" si="18"/>
        <v/>
      </c>
      <c r="X58" s="174" t="str">
        <f t="shared" si="18"/>
        <v/>
      </c>
      <c r="Y58" s="174" t="str">
        <f t="shared" si="18"/>
        <v/>
      </c>
      <c r="Z58" s="174" t="str">
        <f t="shared" si="18"/>
        <v/>
      </c>
      <c r="AA58" s="174" t="str">
        <f t="shared" si="18"/>
        <v/>
      </c>
      <c r="AB58" s="174" t="str">
        <f t="shared" si="18"/>
        <v/>
      </c>
      <c r="AC58" s="174" t="str">
        <f t="shared" si="18"/>
        <v/>
      </c>
      <c r="AD58" s="174" t="str">
        <f t="shared" si="18"/>
        <v/>
      </c>
      <c r="AE58" s="174" t="str">
        <f t="shared" si="18"/>
        <v/>
      </c>
      <c r="AF58" s="174" t="str">
        <f t="shared" si="18"/>
        <v/>
      </c>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c r="DM58" s="97"/>
      <c r="DN58" s="97"/>
      <c r="DO58" s="97"/>
    </row>
    <row r="59" spans="1:119" s="85" customFormat="1" ht="24.95" customHeight="1">
      <c r="A59" s="91" t="s">
        <v>19</v>
      </c>
      <c r="B59" s="92" t="s">
        <v>130</v>
      </c>
      <c r="C59" s="174" t="str">
        <f>IF(C52&lt;&gt;"",MAX(C52:C56)-MIN(C52:C56),"")</f>
        <v/>
      </c>
      <c r="D59" s="174" t="str">
        <f t="shared" ref="D59:S59" si="19">IF(D52&lt;&gt;"",MAX(D52:D56)-MIN(D52:D56),"")</f>
        <v/>
      </c>
      <c r="E59" s="174" t="str">
        <f t="shared" si="19"/>
        <v/>
      </c>
      <c r="F59" s="174" t="str">
        <f t="shared" si="19"/>
        <v/>
      </c>
      <c r="G59" s="174" t="str">
        <f t="shared" si="19"/>
        <v/>
      </c>
      <c r="H59" s="174" t="str">
        <f t="shared" si="19"/>
        <v/>
      </c>
      <c r="I59" s="174" t="str">
        <f t="shared" si="19"/>
        <v/>
      </c>
      <c r="J59" s="174" t="str">
        <f t="shared" si="19"/>
        <v/>
      </c>
      <c r="K59" s="174" t="str">
        <f t="shared" si="19"/>
        <v/>
      </c>
      <c r="L59" s="174" t="str">
        <f t="shared" si="19"/>
        <v/>
      </c>
      <c r="M59" s="174" t="str">
        <f t="shared" si="19"/>
        <v/>
      </c>
      <c r="N59" s="174" t="str">
        <f t="shared" si="19"/>
        <v/>
      </c>
      <c r="O59" s="174" t="str">
        <f t="shared" si="19"/>
        <v/>
      </c>
      <c r="P59" s="174" t="str">
        <f t="shared" si="19"/>
        <v/>
      </c>
      <c r="Q59" s="174" t="str">
        <f t="shared" si="19"/>
        <v/>
      </c>
      <c r="R59" s="174" t="str">
        <f t="shared" si="19"/>
        <v/>
      </c>
      <c r="S59" s="174" t="str">
        <f t="shared" si="19"/>
        <v/>
      </c>
      <c r="T59" s="174" t="str">
        <f t="shared" ref="T59:AF59" si="20">IF(T52&lt;&gt;"",MAX(T52:T56)-MIN(T52:T56),"")</f>
        <v/>
      </c>
      <c r="U59" s="174" t="str">
        <f t="shared" si="20"/>
        <v/>
      </c>
      <c r="V59" s="174" t="str">
        <f t="shared" si="20"/>
        <v/>
      </c>
      <c r="W59" s="174" t="str">
        <f t="shared" si="20"/>
        <v/>
      </c>
      <c r="X59" s="174" t="str">
        <f t="shared" si="20"/>
        <v/>
      </c>
      <c r="Y59" s="174" t="str">
        <f t="shared" si="20"/>
        <v/>
      </c>
      <c r="Z59" s="174" t="str">
        <f t="shared" si="20"/>
        <v/>
      </c>
      <c r="AA59" s="174" t="str">
        <f t="shared" si="20"/>
        <v/>
      </c>
      <c r="AB59" s="174" t="str">
        <f t="shared" si="20"/>
        <v/>
      </c>
      <c r="AC59" s="174" t="str">
        <f t="shared" si="20"/>
        <v/>
      </c>
      <c r="AD59" s="174" t="str">
        <f t="shared" si="20"/>
        <v/>
      </c>
      <c r="AE59" s="174" t="str">
        <f t="shared" si="20"/>
        <v/>
      </c>
      <c r="AF59" s="174" t="str">
        <f t="shared" si="20"/>
        <v/>
      </c>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c r="CZ59" s="97"/>
      <c r="DA59" s="97"/>
      <c r="DB59" s="97"/>
      <c r="DC59" s="97"/>
      <c r="DD59" s="97"/>
      <c r="DE59" s="97"/>
      <c r="DF59" s="97"/>
      <c r="DG59" s="97"/>
      <c r="DH59" s="97"/>
      <c r="DI59" s="97"/>
      <c r="DJ59" s="97"/>
      <c r="DK59" s="97"/>
      <c r="DL59" s="97"/>
      <c r="DM59" s="97"/>
      <c r="DN59" s="97"/>
      <c r="DO59" s="97"/>
    </row>
    <row r="60" spans="1:119">
      <c r="C60" s="101" t="str">
        <f>IF(C59&lt;&gt;"",IF(C59&gt;$H$29,"**",""),"")</f>
        <v/>
      </c>
      <c r="D60" s="101" t="str">
        <f t="shared" ref="D60:S60" si="21">IF(D59&lt;&gt;"",IF(D59&gt;$H$29,"**",""),"")</f>
        <v/>
      </c>
      <c r="E60" s="101" t="str">
        <f t="shared" si="21"/>
        <v/>
      </c>
      <c r="F60" s="101" t="str">
        <f t="shared" si="21"/>
        <v/>
      </c>
      <c r="G60" s="101" t="str">
        <f t="shared" si="21"/>
        <v/>
      </c>
      <c r="H60" s="101" t="str">
        <f t="shared" si="21"/>
        <v/>
      </c>
      <c r="I60" s="101" t="str">
        <f t="shared" si="21"/>
        <v/>
      </c>
      <c r="J60" s="101" t="str">
        <f t="shared" si="21"/>
        <v/>
      </c>
      <c r="K60" s="101" t="str">
        <f t="shared" si="21"/>
        <v/>
      </c>
      <c r="L60" s="101" t="str">
        <f t="shared" si="21"/>
        <v/>
      </c>
      <c r="M60" s="101" t="str">
        <f t="shared" si="21"/>
        <v/>
      </c>
      <c r="N60" s="101" t="str">
        <f t="shared" si="21"/>
        <v/>
      </c>
      <c r="O60" s="101" t="str">
        <f t="shared" si="21"/>
        <v/>
      </c>
      <c r="P60" s="101" t="str">
        <f t="shared" si="21"/>
        <v/>
      </c>
      <c r="Q60" s="101" t="str">
        <f t="shared" si="21"/>
        <v/>
      </c>
      <c r="R60" s="101" t="str">
        <f t="shared" si="21"/>
        <v/>
      </c>
      <c r="S60" s="101" t="str">
        <f t="shared" si="21"/>
        <v/>
      </c>
      <c r="T60" s="101" t="str">
        <f t="shared" ref="T60:AF60" si="22">IF(T59&lt;&gt;"",IF(T59&gt;$H$29,"**",""),"")</f>
        <v/>
      </c>
      <c r="U60" s="101" t="str">
        <f t="shared" si="22"/>
        <v/>
      </c>
      <c r="V60" s="101" t="str">
        <f t="shared" si="22"/>
        <v/>
      </c>
      <c r="W60" s="101" t="str">
        <f t="shared" si="22"/>
        <v/>
      </c>
      <c r="X60" s="101" t="str">
        <f t="shared" si="22"/>
        <v/>
      </c>
      <c r="Y60" s="101" t="str">
        <f t="shared" si="22"/>
        <v/>
      </c>
      <c r="Z60" s="101" t="str">
        <f t="shared" si="22"/>
        <v/>
      </c>
      <c r="AA60" s="101" t="str">
        <f t="shared" si="22"/>
        <v/>
      </c>
      <c r="AB60" s="101" t="str">
        <f t="shared" si="22"/>
        <v/>
      </c>
      <c r="AC60" s="101" t="str">
        <f t="shared" si="22"/>
        <v/>
      </c>
      <c r="AD60" s="101" t="str">
        <f t="shared" si="22"/>
        <v/>
      </c>
      <c r="AE60" s="101" t="str">
        <f t="shared" si="22"/>
        <v/>
      </c>
      <c r="AF60" s="101" t="str">
        <f t="shared" si="22"/>
        <v/>
      </c>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row>
    <row r="61" spans="1:119">
      <c r="C61" s="4" t="s">
        <v>368</v>
      </c>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row>
    <row r="66" spans="1:121" ht="20.25">
      <c r="A66" s="27"/>
      <c r="B66" s="872" t="s">
        <v>515</v>
      </c>
      <c r="C66" s="872"/>
      <c r="D66" s="872"/>
      <c r="E66" s="872"/>
      <c r="F66" s="872"/>
      <c r="G66" s="872"/>
      <c r="H66" s="872"/>
      <c r="I66" s="872"/>
      <c r="J66" s="872"/>
      <c r="K66" s="872"/>
      <c r="L66" s="872"/>
      <c r="M66" s="872"/>
      <c r="N66" s="872"/>
      <c r="O66" s="872"/>
      <c r="P66" s="872"/>
      <c r="Q66" s="872"/>
      <c r="R66" s="872"/>
      <c r="S66" s="872"/>
      <c r="T66" s="872"/>
      <c r="U66" s="872"/>
      <c r="V66" s="872"/>
      <c r="W66" s="872"/>
      <c r="X66" s="872"/>
      <c r="Y66" s="872"/>
      <c r="Z66" s="872"/>
      <c r="AA66" s="872"/>
      <c r="AB66" s="872"/>
      <c r="AC66" s="872"/>
      <c r="AD66" s="872"/>
      <c r="AE66" s="872"/>
      <c r="AF66" s="873"/>
    </row>
    <row r="67" spans="1:121">
      <c r="A67" s="5"/>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7"/>
    </row>
    <row r="68" spans="1:121" ht="14.25">
      <c r="A68" s="8"/>
      <c r="B68" t="s">
        <v>424</v>
      </c>
      <c r="H68" t="s">
        <v>425</v>
      </c>
      <c r="T68" s="870" t="str">
        <f>C29</f>
        <v/>
      </c>
      <c r="U68" s="870"/>
      <c r="Z68" s="882" t="s">
        <v>645</v>
      </c>
      <c r="AA68" s="882"/>
      <c r="AB68" s="882" t="s">
        <v>496</v>
      </c>
      <c r="AC68" s="882"/>
      <c r="AF68" s="9"/>
    </row>
    <row r="69" spans="1:121">
      <c r="A69" s="8"/>
      <c r="Z69" s="881">
        <v>2</v>
      </c>
      <c r="AA69" s="881"/>
      <c r="AB69" s="881">
        <v>1.1279999999999999</v>
      </c>
      <c r="AC69" s="881"/>
      <c r="AF69" s="9"/>
    </row>
    <row r="70" spans="1:121">
      <c r="A70" s="8"/>
      <c r="H70" t="s">
        <v>495</v>
      </c>
      <c r="T70" s="871" t="str">
        <f>IF(C52&lt;&gt;"",COUNT(C52:C56),"")</f>
        <v/>
      </c>
      <c r="U70" s="871"/>
      <c r="Z70" s="881">
        <v>3</v>
      </c>
      <c r="AA70" s="881"/>
      <c r="AB70" s="881">
        <v>1.6930000000000001</v>
      </c>
      <c r="AC70" s="881"/>
      <c r="AF70" s="9"/>
    </row>
    <row r="71" spans="1:121">
      <c r="A71" s="8"/>
      <c r="Z71" s="881">
        <v>4</v>
      </c>
      <c r="AA71" s="881"/>
      <c r="AB71" s="881">
        <v>2.0590000000000002</v>
      </c>
      <c r="AC71" s="881"/>
      <c r="AF71" s="9"/>
    </row>
    <row r="72" spans="1:121" ht="15.75">
      <c r="A72" s="8"/>
      <c r="H72" t="s">
        <v>503</v>
      </c>
      <c r="T72" s="879" t="str">
        <f>IF(T68&lt;&gt;"",T68/VLOOKUP(T70,Z69:AC72,3),"")</f>
        <v/>
      </c>
      <c r="U72" s="880"/>
      <c r="Z72" s="881">
        <v>5</v>
      </c>
      <c r="AA72" s="881"/>
      <c r="AB72" s="881">
        <v>2.3260000000000001</v>
      </c>
      <c r="AC72" s="881"/>
      <c r="AF72" s="9"/>
    </row>
    <row r="73" spans="1:121">
      <c r="A73" s="8"/>
      <c r="AF73" s="9"/>
    </row>
    <row r="74" spans="1:121">
      <c r="A74" s="8"/>
      <c r="B74" t="s">
        <v>340</v>
      </c>
      <c r="Y74" s="871" t="s">
        <v>498</v>
      </c>
      <c r="Z74" s="871"/>
      <c r="AA74" s="871"/>
      <c r="AB74" s="871"/>
      <c r="AC74" s="871"/>
      <c r="AD74" s="871"/>
      <c r="AF74" s="9"/>
    </row>
    <row r="75" spans="1:121">
      <c r="A75" s="8"/>
      <c r="AF75" s="9"/>
    </row>
    <row r="76" spans="1:121" ht="15.75">
      <c r="A76" s="8"/>
      <c r="C76" s="882" t="s">
        <v>502</v>
      </c>
      <c r="D76" s="882"/>
      <c r="E76" s="882" t="s">
        <v>500</v>
      </c>
      <c r="F76" s="882"/>
      <c r="H76" t="s">
        <v>237</v>
      </c>
      <c r="T76" s="871">
        <f>COUNT(AB77:AD79)</f>
        <v>0</v>
      </c>
      <c r="U76" s="871"/>
      <c r="Y76" s="881" t="s">
        <v>581</v>
      </c>
      <c r="Z76" s="881"/>
      <c r="AA76" s="881"/>
      <c r="AB76" s="881" t="s">
        <v>499</v>
      </c>
      <c r="AC76" s="881"/>
      <c r="AD76" s="881"/>
      <c r="AF76" s="9"/>
      <c r="AG76"/>
      <c r="AH76"/>
      <c r="DP76" s="33"/>
      <c r="DQ76" s="33"/>
    </row>
    <row r="77" spans="1:121">
      <c r="A77" s="8"/>
      <c r="C77" s="881">
        <v>2</v>
      </c>
      <c r="D77" s="881"/>
      <c r="E77" s="884">
        <v>1.41</v>
      </c>
      <c r="F77" s="884"/>
      <c r="Y77" s="881" t="s">
        <v>134</v>
      </c>
      <c r="Z77" s="881"/>
      <c r="AA77" s="881"/>
      <c r="AB77" s="883" t="str">
        <f>IF(C58&lt;&gt;"",AVERAGE(C58:L58),"")</f>
        <v/>
      </c>
      <c r="AC77" s="883"/>
      <c r="AD77" s="883"/>
      <c r="AF77" s="9"/>
      <c r="AG77"/>
      <c r="AH77"/>
      <c r="DP77" s="33"/>
      <c r="DQ77" s="33"/>
    </row>
    <row r="78" spans="1:121">
      <c r="A78" s="8"/>
      <c r="C78" s="881">
        <v>3</v>
      </c>
      <c r="D78" s="881"/>
      <c r="E78" s="884">
        <v>1.9059999999999999</v>
      </c>
      <c r="F78" s="884"/>
      <c r="H78" t="s">
        <v>501</v>
      </c>
      <c r="P78" s="871"/>
      <c r="Q78" s="871"/>
      <c r="T78" s="871">
        <f>COUNT(C52:L52)</f>
        <v>0</v>
      </c>
      <c r="U78" s="871"/>
      <c r="Y78" s="881" t="s">
        <v>39</v>
      </c>
      <c r="Z78" s="881"/>
      <c r="AA78" s="881"/>
      <c r="AB78" s="883" t="str">
        <f>IF(M58&lt;&gt;"",AVERAGE(M58:V58),"")</f>
        <v/>
      </c>
      <c r="AC78" s="883"/>
      <c r="AD78" s="883"/>
      <c r="AF78" s="9"/>
      <c r="AG78"/>
      <c r="AH78"/>
      <c r="DP78" s="33"/>
      <c r="DQ78" s="33"/>
    </row>
    <row r="79" spans="1:121">
      <c r="A79" s="8"/>
      <c r="Y79" s="881" t="s">
        <v>640</v>
      </c>
      <c r="Z79" s="881"/>
      <c r="AA79" s="881"/>
      <c r="AB79" s="883" t="str">
        <f>IF(W58="","",AVERAGE(W58:AF58))</f>
        <v/>
      </c>
      <c r="AC79" s="883"/>
      <c r="AD79" s="883"/>
      <c r="AF79" s="9"/>
      <c r="AG79"/>
      <c r="AH79"/>
      <c r="DP79" s="33"/>
      <c r="DQ79" s="33"/>
    </row>
    <row r="80" spans="1:121" ht="15.75">
      <c r="A80" s="8"/>
      <c r="H80" t="s">
        <v>239</v>
      </c>
      <c r="T80" s="870">
        <f>MAX(AB77:AD79)-MIN(AB77:AD79)</f>
        <v>0</v>
      </c>
      <c r="U80" s="871"/>
      <c r="AF80" s="9"/>
    </row>
    <row r="81" spans="1:42">
      <c r="A81" s="8"/>
      <c r="AF81" s="9"/>
    </row>
    <row r="82" spans="1:42" ht="15.75">
      <c r="A82" s="8"/>
      <c r="H82" t="s">
        <v>334</v>
      </c>
      <c r="T82" s="883" t="str">
        <f>IF(T76&lt;&gt;0,T80/VLOOKUP(T76,C77:F78,3),"")</f>
        <v/>
      </c>
      <c r="U82" s="883"/>
      <c r="AF82" s="9"/>
    </row>
    <row r="83" spans="1:42">
      <c r="A83" s="8"/>
      <c r="AF83" s="9"/>
    </row>
    <row r="84" spans="1:42">
      <c r="A84" s="8"/>
      <c r="B84" t="s">
        <v>504</v>
      </c>
      <c r="AF84" s="9"/>
    </row>
    <row r="85" spans="1:42">
      <c r="A85" s="8"/>
      <c r="AF85" s="9"/>
    </row>
    <row r="86" spans="1:42" ht="15.75">
      <c r="A86" s="8"/>
      <c r="H86" s="175" t="s">
        <v>505</v>
      </c>
      <c r="I86" s="115" t="s">
        <v>40</v>
      </c>
      <c r="J86" t="s">
        <v>238</v>
      </c>
      <c r="T86" s="879" t="str">
        <f>IF(T72&lt;&gt;"",SQRT(T72*T72+T82*T82),"")</f>
        <v/>
      </c>
      <c r="U86" s="880"/>
      <c r="AF86" s="9"/>
    </row>
    <row r="87" spans="1:42">
      <c r="A87" s="8"/>
      <c r="I87" s="176"/>
      <c r="AF87" s="9"/>
    </row>
    <row r="88" spans="1:42">
      <c r="A88" s="8"/>
      <c r="B88" t="s">
        <v>506</v>
      </c>
      <c r="I88" s="115"/>
      <c r="Y88" s="871" t="s">
        <v>507</v>
      </c>
      <c r="Z88" s="871"/>
      <c r="AA88" s="871"/>
      <c r="AB88" s="871"/>
      <c r="AC88" s="871"/>
      <c r="AD88" s="871"/>
      <c r="AF88" s="9"/>
    </row>
    <row r="89" spans="1:42">
      <c r="A89" s="8"/>
      <c r="I89" s="115"/>
      <c r="AF89" s="9"/>
    </row>
    <row r="90" spans="1:42" ht="15.75">
      <c r="A90" s="8"/>
      <c r="C90" s="882" t="s">
        <v>502</v>
      </c>
      <c r="D90" s="882"/>
      <c r="E90" s="882" t="s">
        <v>500</v>
      </c>
      <c r="F90" s="882"/>
      <c r="H90" t="s">
        <v>240</v>
      </c>
      <c r="I90" s="115"/>
      <c r="T90" s="870">
        <f>MAX(AB91:AD100)-MIN(AB91:AD100)</f>
        <v>0</v>
      </c>
      <c r="U90" s="871"/>
      <c r="Y90" s="881" t="s">
        <v>508</v>
      </c>
      <c r="Z90" s="881"/>
      <c r="AA90" s="881"/>
      <c r="AB90" s="881" t="s">
        <v>499</v>
      </c>
      <c r="AC90" s="881"/>
      <c r="AD90" s="881"/>
      <c r="AF90" s="9"/>
      <c r="AL90"/>
      <c r="AM90"/>
      <c r="AN90"/>
      <c r="AO90"/>
      <c r="AP90"/>
    </row>
    <row r="91" spans="1:42">
      <c r="A91" s="8"/>
      <c r="C91" s="881">
        <v>2</v>
      </c>
      <c r="D91" s="881"/>
      <c r="E91" s="884">
        <v>1.41</v>
      </c>
      <c r="F91" s="884"/>
      <c r="Y91" s="881">
        <v>1</v>
      </c>
      <c r="Z91" s="881"/>
      <c r="AA91" s="881"/>
      <c r="AB91" s="883" t="str">
        <f>IF(C58="","",(C58+M58+W58)/COUNT(C58,M58,W58))</f>
        <v/>
      </c>
      <c r="AC91" s="883"/>
      <c r="AD91" s="883"/>
      <c r="AF91" s="9"/>
      <c r="AL91"/>
      <c r="AM91"/>
      <c r="AN91"/>
      <c r="AO91"/>
      <c r="AP91"/>
    </row>
    <row r="92" spans="1:42">
      <c r="A92" s="8"/>
      <c r="C92" s="881">
        <v>3</v>
      </c>
      <c r="D92" s="881"/>
      <c r="E92" s="884">
        <v>1.9059999999999999</v>
      </c>
      <c r="F92" s="884"/>
      <c r="H92" t="s">
        <v>509</v>
      </c>
      <c r="Y92" s="881">
        <v>2</v>
      </c>
      <c r="Z92" s="881"/>
      <c r="AA92" s="881"/>
      <c r="AB92" s="883" t="str">
        <f>IF(D58="","",(D58+N58+X58)/COUNT(D58,N58,X58))</f>
        <v/>
      </c>
      <c r="AC92" s="883"/>
      <c r="AD92" s="883"/>
      <c r="AF92" s="9"/>
      <c r="AL92"/>
      <c r="AM92"/>
      <c r="AN92"/>
      <c r="AO92"/>
      <c r="AP92"/>
    </row>
    <row r="93" spans="1:42">
      <c r="A93" s="8"/>
      <c r="C93" s="881">
        <v>4</v>
      </c>
      <c r="D93" s="881"/>
      <c r="E93" s="884">
        <v>2.2370000000000001</v>
      </c>
      <c r="F93" s="884"/>
      <c r="Y93" s="881">
        <v>3</v>
      </c>
      <c r="Z93" s="881"/>
      <c r="AA93" s="881"/>
      <c r="AB93" s="883" t="str">
        <f>IF(E58="","",(E58+O58+Y58)/COUNT(E58,O58,Y58))</f>
        <v/>
      </c>
      <c r="AC93" s="883"/>
      <c r="AD93" s="883"/>
      <c r="AF93" s="9"/>
      <c r="AL93"/>
      <c r="AM93"/>
      <c r="AN93"/>
      <c r="AO93"/>
      <c r="AP93"/>
    </row>
    <row r="94" spans="1:42" ht="15.75">
      <c r="A94" s="8"/>
      <c r="C94" s="881">
        <v>5</v>
      </c>
      <c r="D94" s="881"/>
      <c r="E94" s="884">
        <v>2.4769999999999999</v>
      </c>
      <c r="F94" s="884"/>
      <c r="O94" s="175" t="s">
        <v>512</v>
      </c>
      <c r="P94" s="36" t="s">
        <v>40</v>
      </c>
      <c r="Q94" s="33" t="s">
        <v>333</v>
      </c>
      <c r="T94" s="883" t="str">
        <f>IF(T78&lt;&gt;0,T90/VLOOKUP(T78,C91:F99,3),"")</f>
        <v/>
      </c>
      <c r="U94" s="883"/>
      <c r="Y94" s="881">
        <v>4</v>
      </c>
      <c r="Z94" s="881"/>
      <c r="AA94" s="881"/>
      <c r="AB94" s="883" t="str">
        <f>IF(F58="","",(F58+P58+Z58)/COUNT(F58,P58,Z58))</f>
        <v/>
      </c>
      <c r="AC94" s="883"/>
      <c r="AD94" s="883"/>
      <c r="AF94" s="9"/>
    </row>
    <row r="95" spans="1:42">
      <c r="A95" s="8"/>
      <c r="C95" s="881">
        <v>6</v>
      </c>
      <c r="D95" s="881"/>
      <c r="E95" s="884">
        <v>2.669</v>
      </c>
      <c r="F95" s="884"/>
      <c r="Y95" s="881">
        <v>5</v>
      </c>
      <c r="Z95" s="881"/>
      <c r="AA95" s="881"/>
      <c r="AB95" s="883" t="str">
        <f>IF(G58="","",(G58+Q58+AA58)/COUNT(G58,Q58,AA58))</f>
        <v/>
      </c>
      <c r="AC95" s="883"/>
      <c r="AD95" s="883"/>
      <c r="AF95" s="9"/>
    </row>
    <row r="96" spans="1:42">
      <c r="A96" s="8"/>
      <c r="C96" s="881">
        <v>7</v>
      </c>
      <c r="D96" s="881"/>
      <c r="E96" s="884">
        <v>2.827</v>
      </c>
      <c r="F96" s="884"/>
      <c r="H96" t="s">
        <v>510</v>
      </c>
      <c r="Y96" s="881">
        <v>6</v>
      </c>
      <c r="Z96" s="881"/>
      <c r="AA96" s="881"/>
      <c r="AB96" s="883" t="str">
        <f>IF(H58="","",(H58+R58+AB58)/COUNT(H58,R58,AB58))</f>
        <v/>
      </c>
      <c r="AC96" s="883"/>
      <c r="AD96" s="883"/>
      <c r="AF96" s="9"/>
    </row>
    <row r="97" spans="1:32" ht="15.75">
      <c r="A97" s="8"/>
      <c r="C97" s="881">
        <v>8</v>
      </c>
      <c r="D97" s="881"/>
      <c r="E97" s="884">
        <v>2.9609999999999999</v>
      </c>
      <c r="F97" s="884"/>
      <c r="P97" s="175" t="s">
        <v>511</v>
      </c>
      <c r="T97" s="866" t="str">
        <f>IF(T86&lt;&gt;"",T94/T86,"")</f>
        <v/>
      </c>
      <c r="U97" s="866"/>
      <c r="Y97" s="881">
        <v>7</v>
      </c>
      <c r="Z97" s="881"/>
      <c r="AA97" s="881"/>
      <c r="AB97" s="883" t="str">
        <f>IF(I58="","",(I58+S58+AC58)/COUNT(I58,S58,AC58))</f>
        <v/>
      </c>
      <c r="AC97" s="883"/>
      <c r="AD97" s="883"/>
      <c r="AF97" s="9"/>
    </row>
    <row r="98" spans="1:32">
      <c r="A98" s="8"/>
      <c r="C98" s="881">
        <v>9</v>
      </c>
      <c r="D98" s="881"/>
      <c r="E98" s="884">
        <v>3.0760000000000001</v>
      </c>
      <c r="F98" s="884"/>
      <c r="Y98" s="881">
        <v>8</v>
      </c>
      <c r="Z98" s="881"/>
      <c r="AA98" s="881"/>
      <c r="AB98" s="883" t="str">
        <f>IF(J58="","",(J58+T58+AD58)/COUNT(J58,T58,AD58))</f>
        <v/>
      </c>
      <c r="AC98" s="883"/>
      <c r="AD98" s="883"/>
      <c r="AF98" s="9"/>
    </row>
    <row r="99" spans="1:32">
      <c r="A99" s="8"/>
      <c r="C99" s="881">
        <v>10</v>
      </c>
      <c r="D99" s="881"/>
      <c r="E99" s="884">
        <v>3.1779999999999999</v>
      </c>
      <c r="F99" s="884"/>
      <c r="Y99" s="881">
        <v>9</v>
      </c>
      <c r="Z99" s="881"/>
      <c r="AA99" s="881"/>
      <c r="AB99" s="883" t="str">
        <f>IF(K58="","",(K58+U58+AE58)/COUNT(K58,U58,AE58))</f>
        <v/>
      </c>
      <c r="AC99" s="883"/>
      <c r="AD99" s="883"/>
      <c r="AF99" s="9"/>
    </row>
    <row r="100" spans="1:32">
      <c r="A100" s="8"/>
      <c r="Y100" s="881">
        <v>10</v>
      </c>
      <c r="Z100" s="881"/>
      <c r="AA100" s="881"/>
      <c r="AB100" s="883" t="str">
        <f>IF(L58="","",(L58+V58+AF58)/COUNT(L58,V58,AF58))</f>
        <v/>
      </c>
      <c r="AC100" s="883"/>
      <c r="AD100" s="883"/>
      <c r="AF100" s="9"/>
    </row>
    <row r="101" spans="1:32">
      <c r="A101" s="8"/>
      <c r="AF101" s="9"/>
    </row>
    <row r="102" spans="1:32">
      <c r="A102" s="8"/>
      <c r="AF102" s="9"/>
    </row>
    <row r="103" spans="1:32">
      <c r="A103" s="8"/>
      <c r="C103" t="s">
        <v>341</v>
      </c>
      <c r="AF103" s="9"/>
    </row>
    <row r="104" spans="1:32">
      <c r="A104" s="8"/>
      <c r="AF104" s="9"/>
    </row>
    <row r="105" spans="1:32" ht="15.75">
      <c r="A105" s="8"/>
      <c r="F105" t="s">
        <v>332</v>
      </c>
      <c r="H105" t="s">
        <v>335</v>
      </c>
      <c r="T105" s="885" t="str">
        <f>IF(T97&lt;&gt;"",TRUNC(T97*1.41),"")</f>
        <v/>
      </c>
      <c r="U105" s="885"/>
      <c r="AF105" s="9"/>
    </row>
    <row r="106" spans="1:32">
      <c r="A106" s="8"/>
      <c r="AF106" s="9"/>
    </row>
    <row r="107" spans="1:32">
      <c r="A107" s="8"/>
      <c r="T107" s="185" t="str">
        <f>IF(T105&lt;&gt;"",IF(T105&lt;5,"Gage discrimination low","Gage discrimination acceptable"),"")</f>
        <v/>
      </c>
      <c r="U107" s="184"/>
      <c r="V107" s="184"/>
      <c r="W107" s="184"/>
      <c r="AF107" s="9"/>
    </row>
    <row r="108" spans="1:32">
      <c r="A108" s="8"/>
      <c r="AF108" s="9"/>
    </row>
    <row r="109" spans="1:32">
      <c r="A109" s="8"/>
      <c r="C109" t="s">
        <v>342</v>
      </c>
      <c r="AF109" s="9"/>
    </row>
    <row r="110" spans="1:32">
      <c r="A110" s="8"/>
      <c r="C110" t="s">
        <v>513</v>
      </c>
      <c r="AF110" s="9"/>
    </row>
    <row r="111" spans="1:32">
      <c r="A111" s="8"/>
      <c r="C111" t="s">
        <v>514</v>
      </c>
      <c r="AF111" s="9"/>
    </row>
    <row r="112" spans="1:32">
      <c r="A112" s="8"/>
      <c r="AF112" s="9"/>
    </row>
    <row r="113" spans="1:32">
      <c r="A113" s="10"/>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1"/>
    </row>
  </sheetData>
  <mergeCells count="106">
    <mergeCell ref="T105:U105"/>
    <mergeCell ref="AB97:AD97"/>
    <mergeCell ref="AB98:AD98"/>
    <mergeCell ref="Y98:AA98"/>
    <mergeCell ref="Y99:AA99"/>
    <mergeCell ref="Y96:AA96"/>
    <mergeCell ref="A1:F1"/>
    <mergeCell ref="J1:W1"/>
    <mergeCell ref="T90:U90"/>
    <mergeCell ref="T94:U94"/>
    <mergeCell ref="T97:U97"/>
    <mergeCell ref="E93:F93"/>
    <mergeCell ref="C94:D94"/>
    <mergeCell ref="E94:F94"/>
    <mergeCell ref="E92:F92"/>
    <mergeCell ref="T76:U76"/>
    <mergeCell ref="AB99:AD99"/>
    <mergeCell ref="AB100:AD100"/>
    <mergeCell ref="Y88:AD88"/>
    <mergeCell ref="Y90:AA90"/>
    <mergeCell ref="AB90:AD90"/>
    <mergeCell ref="Y91:AA91"/>
    <mergeCell ref="Y94:AA94"/>
    <mergeCell ref="Y95:AA95"/>
    <mergeCell ref="Y100:AA100"/>
    <mergeCell ref="AB91:AD91"/>
    <mergeCell ref="AB92:AD92"/>
    <mergeCell ref="AB94:AD94"/>
    <mergeCell ref="C99:D99"/>
    <mergeCell ref="E99:F99"/>
    <mergeCell ref="C97:D97"/>
    <mergeCell ref="E97:F97"/>
    <mergeCell ref="C98:D98"/>
    <mergeCell ref="E98:F98"/>
    <mergeCell ref="E96:F96"/>
    <mergeCell ref="C93:D93"/>
    <mergeCell ref="Y97:AA97"/>
    <mergeCell ref="T80:U80"/>
    <mergeCell ref="T82:U82"/>
    <mergeCell ref="T86:U86"/>
    <mergeCell ref="Y79:AA79"/>
    <mergeCell ref="Y78:AA78"/>
    <mergeCell ref="AB93:AD93"/>
    <mergeCell ref="C95:D95"/>
    <mergeCell ref="E95:F95"/>
    <mergeCell ref="C96:D96"/>
    <mergeCell ref="AB96:AD96"/>
    <mergeCell ref="C90:D90"/>
    <mergeCell ref="E90:F90"/>
    <mergeCell ref="C91:D91"/>
    <mergeCell ref="E91:F91"/>
    <mergeCell ref="C92:D92"/>
    <mergeCell ref="Y93:AA93"/>
    <mergeCell ref="AB95:AD95"/>
    <mergeCell ref="AB78:AD78"/>
    <mergeCell ref="Y92:AA92"/>
    <mergeCell ref="Y76:AA76"/>
    <mergeCell ref="AB76:AD76"/>
    <mergeCell ref="AB79:AD79"/>
    <mergeCell ref="Y74:AD74"/>
    <mergeCell ref="C76:D76"/>
    <mergeCell ref="E76:F76"/>
    <mergeCell ref="C77:D77"/>
    <mergeCell ref="E77:F77"/>
    <mergeCell ref="C78:D78"/>
    <mergeCell ref="E78:F78"/>
    <mergeCell ref="Y77:AA77"/>
    <mergeCell ref="AB77:AD77"/>
    <mergeCell ref="P78:Q78"/>
    <mergeCell ref="T78:U78"/>
    <mergeCell ref="T72:U72"/>
    <mergeCell ref="AB69:AC69"/>
    <mergeCell ref="AB70:AC70"/>
    <mergeCell ref="AB71:AC71"/>
    <mergeCell ref="AB72:AC72"/>
    <mergeCell ref="AB68:AC68"/>
    <mergeCell ref="Z68:AA68"/>
    <mergeCell ref="Z69:AA69"/>
    <mergeCell ref="M50:V50"/>
    <mergeCell ref="Z70:AA70"/>
    <mergeCell ref="Z71:AA71"/>
    <mergeCell ref="Z72:AA72"/>
    <mergeCell ref="W50:AF50"/>
    <mergeCell ref="H29:I29"/>
    <mergeCell ref="C29:D29"/>
    <mergeCell ref="M29:N29"/>
    <mergeCell ref="A4:L4"/>
    <mergeCell ref="M4:W4"/>
    <mergeCell ref="T68:U68"/>
    <mergeCell ref="T70:U70"/>
    <mergeCell ref="B66:AF66"/>
    <mergeCell ref="A51:B51"/>
    <mergeCell ref="C50:L50"/>
    <mergeCell ref="AD2:AF2"/>
    <mergeCell ref="X4:AF4"/>
    <mergeCell ref="S6:V6"/>
    <mergeCell ref="W6:AA6"/>
    <mergeCell ref="AB6:AF6"/>
    <mergeCell ref="A2:F2"/>
    <mergeCell ref="C8:D8"/>
    <mergeCell ref="H8:I8"/>
    <mergeCell ref="M8:N8"/>
    <mergeCell ref="A6:D6"/>
    <mergeCell ref="E6:I6"/>
    <mergeCell ref="J6:N6"/>
    <mergeCell ref="O6:R6"/>
  </mergeCells>
  <phoneticPr fontId="27" type="noConversion"/>
  <printOptions horizontalCentered="1"/>
  <pageMargins left="0.5" right="0.5" top="1.2833333333333334" bottom="0.75" header="0.5" footer="0.5"/>
  <pageSetup scale="28" fitToHeight="2" orientation="portrait" horizontalDpi="300" verticalDpi="1200" r:id="rId1"/>
  <headerFooter>
    <oddHeader>&amp;L&amp;G  &amp;C&amp;"Arial,Bold"&amp;14GAGE R&amp;&amp;R DATA SHEET</oddHeader>
    <oddFooter>&amp;C&amp;F</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9">
    <pageSetUpPr fitToPage="1"/>
  </sheetPr>
  <dimension ref="A2:CS55"/>
  <sheetViews>
    <sheetView showGridLines="0" showRowColHeaders="0" view="pageLayout" topLeftCell="D1" zoomScaleNormal="100" workbookViewId="0">
      <selection activeCell="AG7" sqref="AG7"/>
    </sheetView>
  </sheetViews>
  <sheetFormatPr defaultRowHeight="12.75"/>
  <cols>
    <col min="1" max="1" width="2.28515625" customWidth="1"/>
    <col min="2" max="2" width="6.28515625" customWidth="1"/>
    <col min="3" max="32" width="3.7109375" customWidth="1"/>
    <col min="33" max="33" width="9.140625" style="33" customWidth="1"/>
    <col min="34" max="34" width="11.28515625" style="33" customWidth="1"/>
    <col min="35" max="44" width="6.42578125" style="33" customWidth="1"/>
    <col min="45" max="97" width="9.140625" style="33" customWidth="1"/>
    <col min="98" max="249" width="8.85546875" customWidth="1"/>
  </cols>
  <sheetData>
    <row r="2" spans="1:97" s="4" customFormat="1" ht="18">
      <c r="A2" s="886" t="s">
        <v>111</v>
      </c>
      <c r="B2" s="887"/>
      <c r="C2" s="887"/>
      <c r="D2" s="887"/>
      <c r="E2" s="887"/>
      <c r="F2" s="888"/>
      <c r="H2" s="889" t="s">
        <v>900</v>
      </c>
      <c r="I2" s="889"/>
      <c r="J2" s="889"/>
      <c r="K2" s="889"/>
      <c r="L2" s="889"/>
      <c r="M2" s="889"/>
      <c r="N2" s="889"/>
      <c r="O2" s="889"/>
      <c r="P2" s="889"/>
      <c r="Q2" s="889"/>
      <c r="R2" s="889"/>
      <c r="S2" s="889"/>
      <c r="T2" s="889"/>
      <c r="U2" s="889"/>
      <c r="Y2" s="12" t="s">
        <v>415</v>
      </c>
      <c r="Z2" s="13"/>
      <c r="AA2" s="31"/>
    </row>
    <row r="3" spans="1:97">
      <c r="A3" s="825">
        <f>'Header Info'!C7</f>
        <v>0</v>
      </c>
      <c r="B3" s="827"/>
      <c r="C3" s="827"/>
      <c r="D3" s="827"/>
      <c r="E3" s="827"/>
      <c r="F3" s="826"/>
      <c r="G3" s="1"/>
      <c r="H3" s="1"/>
      <c r="I3" s="1"/>
      <c r="J3" s="575"/>
      <c r="K3" s="575"/>
      <c r="L3" s="575"/>
      <c r="M3" s="575"/>
      <c r="N3" s="575"/>
      <c r="O3" s="575"/>
      <c r="P3" s="575"/>
      <c r="Q3" s="575"/>
      <c r="R3" s="1"/>
      <c r="S3" s="1"/>
      <c r="T3" s="1"/>
      <c r="Y3" s="825"/>
      <c r="Z3" s="827"/>
      <c r="AA3" s="826"/>
      <c r="AB3" s="33"/>
      <c r="AC3" s="33"/>
      <c r="AD3" s="33"/>
      <c r="AE3" s="33"/>
      <c r="AF3" s="33"/>
      <c r="CJ3"/>
      <c r="CK3"/>
      <c r="CL3"/>
      <c r="CM3"/>
      <c r="CN3"/>
      <c r="CO3"/>
      <c r="CP3"/>
      <c r="CQ3"/>
      <c r="CR3"/>
      <c r="CS3"/>
    </row>
    <row r="4" spans="1:97" s="4" customFormat="1" ht="11.25">
      <c r="A4" s="12" t="s">
        <v>417</v>
      </c>
      <c r="B4" s="13"/>
      <c r="C4" s="13"/>
      <c r="D4" s="13"/>
      <c r="E4" s="13"/>
      <c r="F4" s="13"/>
      <c r="G4" s="13"/>
      <c r="H4" s="13"/>
      <c r="I4" s="13"/>
      <c r="J4" s="31"/>
      <c r="K4" s="12" t="s">
        <v>416</v>
      </c>
      <c r="L4" s="13"/>
      <c r="M4" s="13"/>
      <c r="N4" s="13"/>
      <c r="O4" s="13"/>
      <c r="P4" s="13"/>
      <c r="Q4" s="13"/>
      <c r="R4" s="13"/>
      <c r="S4" s="31"/>
      <c r="T4" s="12" t="s">
        <v>422</v>
      </c>
      <c r="U4" s="13"/>
      <c r="V4" s="13"/>
      <c r="W4" s="13"/>
      <c r="X4" s="13"/>
      <c r="Y4" s="13"/>
      <c r="Z4" s="13"/>
      <c r="AA4" s="31"/>
    </row>
    <row r="5" spans="1:97">
      <c r="A5" s="825">
        <f>'Header Info'!C6</f>
        <v>0</v>
      </c>
      <c r="B5" s="827"/>
      <c r="C5" s="827"/>
      <c r="D5" s="827"/>
      <c r="E5" s="827"/>
      <c r="F5" s="827"/>
      <c r="G5" s="827"/>
      <c r="H5" s="827"/>
      <c r="I5" s="827"/>
      <c r="J5" s="826"/>
      <c r="K5" s="825"/>
      <c r="L5" s="827"/>
      <c r="M5" s="827"/>
      <c r="N5" s="827"/>
      <c r="O5" s="827"/>
      <c r="P5" s="827"/>
      <c r="Q5" s="827"/>
      <c r="R5" s="827"/>
      <c r="S5" s="826"/>
      <c r="T5" s="825"/>
      <c r="U5" s="827"/>
      <c r="V5" s="827"/>
      <c r="W5" s="827"/>
      <c r="X5" s="827"/>
      <c r="Y5" s="827"/>
      <c r="Z5" s="827"/>
      <c r="AA5" s="826"/>
      <c r="AB5" s="33"/>
      <c r="AC5" s="33"/>
      <c r="AD5" s="33"/>
      <c r="AE5" s="33"/>
      <c r="AF5" s="33"/>
      <c r="CO5"/>
      <c r="CP5"/>
      <c r="CQ5"/>
      <c r="CR5"/>
      <c r="CS5"/>
    </row>
    <row r="6" spans="1:97" s="4" customFormat="1" ht="11.25">
      <c r="A6" s="12" t="s">
        <v>597</v>
      </c>
      <c r="B6" s="13"/>
      <c r="C6" s="13"/>
      <c r="D6" s="13"/>
      <c r="E6" s="12" t="s">
        <v>421</v>
      </c>
      <c r="F6" s="13"/>
      <c r="G6" s="13"/>
      <c r="H6" s="31"/>
      <c r="I6" s="12" t="s">
        <v>419</v>
      </c>
      <c r="J6" s="13"/>
      <c r="K6" s="13"/>
      <c r="L6" s="31"/>
      <c r="M6" s="12" t="s">
        <v>420</v>
      </c>
      <c r="N6" s="13"/>
      <c r="O6" s="13"/>
      <c r="P6" s="13"/>
      <c r="Q6" s="31"/>
      <c r="R6" s="12" t="s">
        <v>599</v>
      </c>
      <c r="S6" s="13"/>
      <c r="T6" s="13"/>
      <c r="U6" s="13"/>
      <c r="V6" s="31"/>
      <c r="W6" s="12" t="s">
        <v>598</v>
      </c>
      <c r="X6" s="13"/>
      <c r="Y6" s="13"/>
      <c r="Z6" s="13"/>
      <c r="AA6" s="31"/>
    </row>
    <row r="7" spans="1:97" s="75" customFormat="1">
      <c r="A7" s="825"/>
      <c r="B7" s="827"/>
      <c r="C7" s="827"/>
      <c r="D7" s="826"/>
      <c r="E7" s="825"/>
      <c r="F7" s="827"/>
      <c r="G7" s="827"/>
      <c r="H7" s="826"/>
      <c r="I7" s="825"/>
      <c r="J7" s="827"/>
      <c r="K7" s="827"/>
      <c r="L7" s="826"/>
      <c r="M7" s="825"/>
      <c r="N7" s="827"/>
      <c r="O7" s="827"/>
      <c r="P7" s="827"/>
      <c r="Q7" s="826"/>
      <c r="R7" s="895"/>
      <c r="S7" s="896"/>
      <c r="T7" s="896"/>
      <c r="U7" s="896"/>
      <c r="V7" s="897"/>
      <c r="W7" s="895"/>
      <c r="X7" s="896"/>
      <c r="Y7" s="896"/>
      <c r="Z7" s="896"/>
      <c r="AA7" s="897"/>
    </row>
    <row r="8" spans="1:97" ht="6.75" customHeight="1"/>
    <row r="9" spans="1:97">
      <c r="B9" s="26" t="s">
        <v>116</v>
      </c>
    </row>
    <row r="10" spans="1:97">
      <c r="B10" s="124" t="s">
        <v>113</v>
      </c>
      <c r="C10" s="868" t="str">
        <f>IF(C45&lt;&gt;"",AVERAGE(C45:L45),"")</f>
        <v/>
      </c>
      <c r="D10" s="868"/>
      <c r="E10" s="95"/>
      <c r="F10" s="96" t="s">
        <v>114</v>
      </c>
      <c r="G10" s="96"/>
      <c r="H10" s="868" t="str">
        <f>IF(C10&lt;&gt;"",C10+AI18*C30,"")</f>
        <v/>
      </c>
      <c r="I10" s="868"/>
      <c r="J10" s="95"/>
      <c r="K10" s="96" t="s">
        <v>115</v>
      </c>
      <c r="L10" s="96"/>
      <c r="M10" s="868" t="str">
        <f>IF(C10&lt;&gt;"",C10-AI18*C30,"")</f>
        <v/>
      </c>
      <c r="N10" s="869"/>
      <c r="AH10" s="33" t="s">
        <v>117</v>
      </c>
    </row>
    <row r="11" spans="1:97">
      <c r="C11" s="58"/>
      <c r="D11" s="58"/>
      <c r="E11" s="58"/>
      <c r="F11" s="58"/>
      <c r="G11" s="58"/>
      <c r="H11" s="58"/>
      <c r="I11" s="58"/>
      <c r="J11" s="58"/>
      <c r="K11" s="58"/>
      <c r="L11" s="58"/>
      <c r="M11" s="58"/>
      <c r="N11" s="58"/>
    </row>
    <row r="12" spans="1:97">
      <c r="C12" s="58"/>
      <c r="D12" s="58"/>
      <c r="E12" s="58"/>
      <c r="F12" s="58"/>
      <c r="G12" s="58"/>
      <c r="H12" s="58"/>
      <c r="I12" s="58"/>
      <c r="J12" s="58"/>
      <c r="K12" s="58"/>
      <c r="L12" s="58"/>
      <c r="M12" s="58"/>
      <c r="N12" s="58"/>
      <c r="AH12" s="33" t="s">
        <v>118</v>
      </c>
      <c r="AI12" s="98">
        <v>1</v>
      </c>
      <c r="AJ12" s="98">
        <f>AI12+1</f>
        <v>2</v>
      </c>
      <c r="AK12" s="98">
        <f t="shared" ref="AK12:AR12" si="0">AJ12+1</f>
        <v>3</v>
      </c>
      <c r="AL12" s="98">
        <f t="shared" si="0"/>
        <v>4</v>
      </c>
      <c r="AM12" s="98">
        <f t="shared" si="0"/>
        <v>5</v>
      </c>
      <c r="AN12" s="98">
        <f t="shared" si="0"/>
        <v>6</v>
      </c>
      <c r="AO12" s="98">
        <f t="shared" si="0"/>
        <v>7</v>
      </c>
      <c r="AP12" s="98">
        <f t="shared" si="0"/>
        <v>8</v>
      </c>
      <c r="AQ12" s="98">
        <f t="shared" si="0"/>
        <v>9</v>
      </c>
      <c r="AR12" s="98">
        <f t="shared" si="0"/>
        <v>10</v>
      </c>
    </row>
    <row r="13" spans="1:97">
      <c r="C13" s="58"/>
      <c r="D13" s="58"/>
      <c r="E13" s="58"/>
      <c r="F13" s="58"/>
      <c r="G13" s="58"/>
      <c r="H13" s="58"/>
      <c r="I13" s="58"/>
      <c r="J13" s="58"/>
      <c r="K13" s="58"/>
      <c r="L13" s="58"/>
      <c r="M13" s="58"/>
      <c r="N13" s="58"/>
      <c r="AH13" s="33" t="s">
        <v>119</v>
      </c>
      <c r="AI13" s="99" t="str">
        <f t="shared" ref="AI13:AR13" si="1">$H$10</f>
        <v/>
      </c>
      <c r="AJ13" s="99" t="str">
        <f t="shared" si="1"/>
        <v/>
      </c>
      <c r="AK13" s="99" t="str">
        <f t="shared" si="1"/>
        <v/>
      </c>
      <c r="AL13" s="99" t="str">
        <f t="shared" si="1"/>
        <v/>
      </c>
      <c r="AM13" s="99" t="str">
        <f t="shared" si="1"/>
        <v/>
      </c>
      <c r="AN13" s="99" t="str">
        <f t="shared" si="1"/>
        <v/>
      </c>
      <c r="AO13" s="99" t="str">
        <f t="shared" si="1"/>
        <v/>
      </c>
      <c r="AP13" s="99" t="str">
        <f t="shared" si="1"/>
        <v/>
      </c>
      <c r="AQ13" s="99" t="str">
        <f t="shared" si="1"/>
        <v/>
      </c>
      <c r="AR13" s="99" t="str">
        <f t="shared" si="1"/>
        <v/>
      </c>
    </row>
    <row r="14" spans="1:97">
      <c r="C14" s="58"/>
      <c r="D14" s="58"/>
      <c r="E14" s="58"/>
      <c r="F14" s="58"/>
      <c r="G14" s="58"/>
      <c r="H14" s="58"/>
      <c r="I14" s="58"/>
      <c r="J14" s="58"/>
      <c r="K14" s="58"/>
      <c r="L14" s="58"/>
      <c r="M14" s="58"/>
      <c r="N14" s="58"/>
      <c r="AH14" s="33" t="s">
        <v>48</v>
      </c>
      <c r="AI14" s="99" t="str">
        <f t="shared" ref="AI14:AR14" si="2">$C$10</f>
        <v/>
      </c>
      <c r="AJ14" s="99" t="str">
        <f t="shared" si="2"/>
        <v/>
      </c>
      <c r="AK14" s="99" t="str">
        <f t="shared" si="2"/>
        <v/>
      </c>
      <c r="AL14" s="99" t="str">
        <f t="shared" si="2"/>
        <v/>
      </c>
      <c r="AM14" s="99" t="str">
        <f t="shared" si="2"/>
        <v/>
      </c>
      <c r="AN14" s="99" t="str">
        <f t="shared" si="2"/>
        <v/>
      </c>
      <c r="AO14" s="99" t="str">
        <f t="shared" si="2"/>
        <v/>
      </c>
      <c r="AP14" s="99" t="str">
        <f t="shared" si="2"/>
        <v/>
      </c>
      <c r="AQ14" s="99" t="str">
        <f t="shared" si="2"/>
        <v/>
      </c>
      <c r="AR14" s="99" t="str">
        <f t="shared" si="2"/>
        <v/>
      </c>
    </row>
    <row r="15" spans="1:97">
      <c r="C15" s="58"/>
      <c r="D15" s="58"/>
      <c r="E15" s="58"/>
      <c r="F15" s="58"/>
      <c r="G15" s="58"/>
      <c r="H15" s="58"/>
      <c r="I15" s="58"/>
      <c r="J15" s="58"/>
      <c r="K15" s="58"/>
      <c r="L15" s="58"/>
      <c r="M15" s="58"/>
      <c r="N15" s="58"/>
      <c r="AH15" s="33" t="s">
        <v>16</v>
      </c>
      <c r="AI15" s="99" t="str">
        <f t="shared" ref="AI15:AR15" si="3">IF(C45&lt;&gt;"",C45,"")</f>
        <v/>
      </c>
      <c r="AJ15" s="99" t="str">
        <f t="shared" si="3"/>
        <v/>
      </c>
      <c r="AK15" s="99" t="str">
        <f t="shared" si="3"/>
        <v/>
      </c>
      <c r="AL15" s="99" t="str">
        <f t="shared" si="3"/>
        <v/>
      </c>
      <c r="AM15" s="99" t="str">
        <f t="shared" si="3"/>
        <v/>
      </c>
      <c r="AN15" s="99" t="str">
        <f t="shared" si="3"/>
        <v/>
      </c>
      <c r="AO15" s="99" t="str">
        <f t="shared" si="3"/>
        <v/>
      </c>
      <c r="AP15" s="99" t="str">
        <f t="shared" si="3"/>
        <v/>
      </c>
      <c r="AQ15" s="99" t="str">
        <f t="shared" si="3"/>
        <v/>
      </c>
      <c r="AR15" s="99" t="str">
        <f t="shared" si="3"/>
        <v/>
      </c>
    </row>
    <row r="16" spans="1:97">
      <c r="C16" s="58"/>
      <c r="D16" s="58"/>
      <c r="E16" s="58"/>
      <c r="F16" s="58"/>
      <c r="G16" s="58"/>
      <c r="H16" s="58"/>
      <c r="I16" s="58"/>
      <c r="J16" s="58"/>
      <c r="K16" s="58"/>
      <c r="L16" s="58"/>
      <c r="M16" s="58"/>
      <c r="N16" s="58"/>
      <c r="AH16" s="33" t="s">
        <v>120</v>
      </c>
      <c r="AI16" s="99" t="str">
        <f>$M$10</f>
        <v/>
      </c>
      <c r="AJ16" s="99" t="str">
        <f>AI16</f>
        <v/>
      </c>
      <c r="AK16" s="99" t="str">
        <f t="shared" ref="AK16:AR16" si="4">AJ16</f>
        <v/>
      </c>
      <c r="AL16" s="99" t="str">
        <f t="shared" si="4"/>
        <v/>
      </c>
      <c r="AM16" s="99" t="str">
        <f t="shared" si="4"/>
        <v/>
      </c>
      <c r="AN16" s="99" t="str">
        <f t="shared" si="4"/>
        <v/>
      </c>
      <c r="AO16" s="99" t="str">
        <f t="shared" si="4"/>
        <v/>
      </c>
      <c r="AP16" s="99" t="str">
        <f t="shared" si="4"/>
        <v/>
      </c>
      <c r="AQ16" s="99" t="str">
        <f t="shared" si="4"/>
        <v/>
      </c>
      <c r="AR16" s="99" t="str">
        <f t="shared" si="4"/>
        <v/>
      </c>
    </row>
    <row r="17" spans="2:97">
      <c r="C17" s="58"/>
      <c r="D17" s="58"/>
      <c r="E17" s="58"/>
      <c r="F17" s="58"/>
      <c r="G17" s="58"/>
      <c r="H17" s="58"/>
      <c r="I17" s="58"/>
      <c r="J17" s="58"/>
      <c r="K17" s="58"/>
      <c r="L17" s="58"/>
      <c r="M17" s="58"/>
      <c r="N17" s="58"/>
    </row>
    <row r="18" spans="2:97">
      <c r="C18" s="58"/>
      <c r="D18" s="58"/>
      <c r="E18" s="58"/>
      <c r="F18" s="58"/>
      <c r="G18" s="58"/>
      <c r="H18" s="58"/>
      <c r="I18" s="58"/>
      <c r="J18" s="58"/>
      <c r="K18" s="58"/>
      <c r="L18" s="58"/>
      <c r="M18" s="58"/>
      <c r="N18" s="58"/>
      <c r="AH18" s="33" t="s">
        <v>600</v>
      </c>
      <c r="AI18" s="33">
        <v>2.66</v>
      </c>
    </row>
    <row r="19" spans="2:97">
      <c r="C19" s="58"/>
      <c r="D19" s="58"/>
      <c r="E19" s="58"/>
      <c r="F19" s="58"/>
      <c r="G19" s="58"/>
      <c r="H19" s="58"/>
      <c r="I19" s="58"/>
      <c r="J19" s="58"/>
      <c r="K19" s="58"/>
      <c r="L19" s="58"/>
      <c r="M19" s="58"/>
      <c r="N19" s="58"/>
    </row>
    <row r="20" spans="2:97">
      <c r="C20" s="58"/>
      <c r="D20" s="58"/>
      <c r="E20" s="58"/>
      <c r="F20" s="58"/>
      <c r="G20" s="58"/>
      <c r="H20" s="58"/>
      <c r="I20" s="58"/>
      <c r="J20" s="58"/>
      <c r="K20" s="58"/>
      <c r="L20" s="58"/>
      <c r="M20" s="58"/>
      <c r="N20" s="58"/>
    </row>
    <row r="21" spans="2:97">
      <c r="C21" s="58"/>
      <c r="D21" s="58"/>
      <c r="E21" s="58"/>
      <c r="F21" s="58"/>
      <c r="G21" s="58"/>
      <c r="H21" s="58"/>
      <c r="I21" s="58"/>
      <c r="J21" s="58"/>
      <c r="K21" s="58"/>
      <c r="L21" s="58"/>
      <c r="M21" s="58"/>
      <c r="N21" s="58"/>
    </row>
    <row r="22" spans="2:97">
      <c r="C22" s="58"/>
      <c r="D22" s="58"/>
      <c r="E22" s="58"/>
      <c r="F22" s="58"/>
      <c r="G22" s="58"/>
      <c r="H22" s="58"/>
      <c r="I22" s="58"/>
      <c r="J22" s="58"/>
      <c r="K22" s="58"/>
      <c r="L22" s="58"/>
      <c r="M22" s="58"/>
      <c r="N22" s="58"/>
    </row>
    <row r="23" spans="2:97">
      <c r="C23" s="58"/>
      <c r="D23" s="58"/>
      <c r="E23" s="58"/>
      <c r="F23" s="58"/>
      <c r="G23" s="58"/>
      <c r="H23" s="58"/>
      <c r="I23" s="58"/>
      <c r="J23" s="58"/>
      <c r="K23" s="58"/>
      <c r="L23" s="58"/>
      <c r="M23" s="58"/>
      <c r="N23" s="58"/>
    </row>
    <row r="24" spans="2:97">
      <c r="C24" s="58"/>
      <c r="D24" s="58"/>
      <c r="E24" s="58"/>
      <c r="F24" s="58"/>
      <c r="G24" s="58"/>
      <c r="H24" s="58"/>
      <c r="I24" s="58"/>
      <c r="J24" s="58"/>
      <c r="K24" s="58"/>
      <c r="L24" s="58"/>
      <c r="M24" s="58"/>
      <c r="N24" s="58"/>
    </row>
    <row r="25" spans="2:97">
      <c r="C25" s="58"/>
      <c r="D25" s="58"/>
      <c r="E25" s="58"/>
      <c r="F25" s="58"/>
      <c r="G25" s="58"/>
      <c r="H25" s="58"/>
      <c r="I25" s="58"/>
      <c r="J25" s="58"/>
      <c r="K25" s="58"/>
      <c r="L25" s="58"/>
      <c r="M25" s="58"/>
      <c r="N25" s="58"/>
    </row>
    <row r="26" spans="2:97">
      <c r="C26" s="58"/>
      <c r="D26" s="58"/>
      <c r="E26" s="58"/>
      <c r="F26" s="58"/>
      <c r="G26" s="58"/>
      <c r="H26" s="58"/>
      <c r="I26" s="58"/>
      <c r="J26" s="58"/>
      <c r="K26" s="58"/>
      <c r="L26" s="58"/>
      <c r="M26" s="58"/>
      <c r="N26" s="58"/>
    </row>
    <row r="27" spans="2:97">
      <c r="C27" s="58"/>
      <c r="D27" s="58"/>
      <c r="E27" s="58"/>
      <c r="F27" s="58"/>
      <c r="G27" s="58"/>
      <c r="H27" s="58"/>
      <c r="I27" s="58"/>
      <c r="J27" s="58"/>
      <c r="K27" s="58"/>
      <c r="L27" s="58"/>
      <c r="M27" s="58"/>
      <c r="N27" s="58"/>
    </row>
    <row r="28" spans="2:97">
      <c r="C28" s="58"/>
      <c r="D28" s="58"/>
      <c r="E28" s="58"/>
      <c r="F28" s="58"/>
      <c r="G28" s="58"/>
      <c r="H28" s="58"/>
      <c r="I28" s="58"/>
      <c r="J28" s="58"/>
      <c r="K28" s="58"/>
      <c r="L28" s="58"/>
      <c r="M28" s="58"/>
      <c r="N28" s="58"/>
    </row>
    <row r="29" spans="2:97">
      <c r="B29" s="26" t="s">
        <v>122</v>
      </c>
      <c r="C29" s="4"/>
      <c r="D29" s="4"/>
      <c r="E29" s="4"/>
      <c r="F29" s="4"/>
      <c r="G29" s="4"/>
      <c r="H29" s="4"/>
      <c r="I29" s="4"/>
      <c r="J29" s="4"/>
      <c r="K29" s="4"/>
      <c r="L29" s="4"/>
      <c r="M29" s="4"/>
      <c r="N29" s="4"/>
    </row>
    <row r="30" spans="2:97">
      <c r="B30" s="124" t="s">
        <v>121</v>
      </c>
      <c r="C30" s="868" t="str">
        <f>IF(C45&lt;&gt;"",AVERAGE(C46:L46),"")</f>
        <v/>
      </c>
      <c r="D30" s="868"/>
      <c r="E30" s="95"/>
      <c r="F30" s="96" t="s">
        <v>114</v>
      </c>
      <c r="G30" s="96"/>
      <c r="H30" s="868" t="str">
        <f>IF(C30="","",C30*3.27)</f>
        <v/>
      </c>
      <c r="I30" s="868"/>
      <c r="J30" s="95"/>
      <c r="K30" s="96" t="s">
        <v>115</v>
      </c>
      <c r="L30" s="96"/>
      <c r="M30" s="868" t="str">
        <f>IF(C30&lt;&gt;"",0,"")</f>
        <v/>
      </c>
      <c r="N30" s="869"/>
    </row>
    <row r="31" spans="2:97" s="4" customFormat="1">
      <c r="AG31"/>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row>
    <row r="32" spans="2:97">
      <c r="AH32" s="33" t="s">
        <v>123</v>
      </c>
    </row>
    <row r="34" spans="1:77">
      <c r="AH34" s="33" t="s">
        <v>118</v>
      </c>
      <c r="AI34" s="98">
        <v>1</v>
      </c>
      <c r="AJ34" s="98">
        <f t="shared" ref="AJ34:AR34" si="5">AI34+1</f>
        <v>2</v>
      </c>
      <c r="AK34" s="98">
        <f t="shared" si="5"/>
        <v>3</v>
      </c>
      <c r="AL34" s="98">
        <f t="shared" si="5"/>
        <v>4</v>
      </c>
      <c r="AM34" s="98">
        <f t="shared" si="5"/>
        <v>5</v>
      </c>
      <c r="AN34" s="98">
        <f t="shared" si="5"/>
        <v>6</v>
      </c>
      <c r="AO34" s="98">
        <f t="shared" si="5"/>
        <v>7</v>
      </c>
      <c r="AP34" s="98">
        <f t="shared" si="5"/>
        <v>8</v>
      </c>
      <c r="AQ34" s="98">
        <f t="shared" si="5"/>
        <v>9</v>
      </c>
      <c r="AR34" s="98">
        <f t="shared" si="5"/>
        <v>10</v>
      </c>
    </row>
    <row r="35" spans="1:77">
      <c r="AH35" s="33" t="s">
        <v>119</v>
      </c>
      <c r="AI35" s="99" t="str">
        <f t="shared" ref="AI35:AR35" si="6">$H$30</f>
        <v/>
      </c>
      <c r="AJ35" s="99" t="str">
        <f t="shared" si="6"/>
        <v/>
      </c>
      <c r="AK35" s="99" t="str">
        <f t="shared" si="6"/>
        <v/>
      </c>
      <c r="AL35" s="99" t="str">
        <f t="shared" si="6"/>
        <v/>
      </c>
      <c r="AM35" s="99" t="str">
        <f t="shared" si="6"/>
        <v/>
      </c>
      <c r="AN35" s="99" t="str">
        <f t="shared" si="6"/>
        <v/>
      </c>
      <c r="AO35" s="99" t="str">
        <f t="shared" si="6"/>
        <v/>
      </c>
      <c r="AP35" s="99" t="str">
        <f t="shared" si="6"/>
        <v/>
      </c>
      <c r="AQ35" s="99" t="str">
        <f t="shared" si="6"/>
        <v/>
      </c>
      <c r="AR35" s="99" t="str">
        <f t="shared" si="6"/>
        <v/>
      </c>
    </row>
    <row r="36" spans="1:77">
      <c r="AH36" s="33" t="s">
        <v>48</v>
      </c>
      <c r="AI36" s="99">
        <f>AVERAGE(C46:L46)</f>
        <v>0</v>
      </c>
      <c r="AJ36" s="99">
        <f t="shared" ref="AJ36:AR36" si="7">$AI$36</f>
        <v>0</v>
      </c>
      <c r="AK36" s="99">
        <f t="shared" si="7"/>
        <v>0</v>
      </c>
      <c r="AL36" s="99">
        <f t="shared" si="7"/>
        <v>0</v>
      </c>
      <c r="AM36" s="99">
        <f t="shared" si="7"/>
        <v>0</v>
      </c>
      <c r="AN36" s="99">
        <f t="shared" si="7"/>
        <v>0</v>
      </c>
      <c r="AO36" s="99">
        <f t="shared" si="7"/>
        <v>0</v>
      </c>
      <c r="AP36" s="99">
        <f t="shared" si="7"/>
        <v>0</v>
      </c>
      <c r="AQ36" s="99">
        <f t="shared" si="7"/>
        <v>0</v>
      </c>
      <c r="AR36" s="99">
        <f t="shared" si="7"/>
        <v>0</v>
      </c>
    </row>
    <row r="37" spans="1:77">
      <c r="AH37" s="33" t="s">
        <v>124</v>
      </c>
      <c r="AI37" s="99" t="str">
        <f t="shared" ref="AI37:AR37" si="8">C46</f>
        <v>n/a</v>
      </c>
      <c r="AJ37" s="99">
        <f t="shared" si="8"/>
        <v>0</v>
      </c>
      <c r="AK37" s="99">
        <f t="shared" si="8"/>
        <v>0</v>
      </c>
      <c r="AL37" s="99">
        <f t="shared" si="8"/>
        <v>0</v>
      </c>
      <c r="AM37" s="99">
        <f t="shared" si="8"/>
        <v>0</v>
      </c>
      <c r="AN37" s="99">
        <f t="shared" si="8"/>
        <v>0</v>
      </c>
      <c r="AO37" s="99">
        <f t="shared" si="8"/>
        <v>0</v>
      </c>
      <c r="AP37" s="99">
        <f t="shared" si="8"/>
        <v>0</v>
      </c>
      <c r="AQ37" s="99">
        <f t="shared" si="8"/>
        <v>0</v>
      </c>
      <c r="AR37" s="99">
        <f t="shared" si="8"/>
        <v>0</v>
      </c>
    </row>
    <row r="38" spans="1:77">
      <c r="AH38" s="33" t="s">
        <v>120</v>
      </c>
      <c r="AI38" s="99" t="str">
        <f t="shared" ref="AI38:AR38" si="9">$M$30</f>
        <v/>
      </c>
      <c r="AJ38" s="99" t="str">
        <f t="shared" si="9"/>
        <v/>
      </c>
      <c r="AK38" s="99" t="str">
        <f t="shared" si="9"/>
        <v/>
      </c>
      <c r="AL38" s="99" t="str">
        <f t="shared" si="9"/>
        <v/>
      </c>
      <c r="AM38" s="99" t="str">
        <f t="shared" si="9"/>
        <v/>
      </c>
      <c r="AN38" s="99" t="str">
        <f t="shared" si="9"/>
        <v/>
      </c>
      <c r="AO38" s="99" t="str">
        <f t="shared" si="9"/>
        <v/>
      </c>
      <c r="AP38" s="99" t="str">
        <f t="shared" si="9"/>
        <v/>
      </c>
      <c r="AQ38" s="99" t="str">
        <f t="shared" si="9"/>
        <v/>
      </c>
      <c r="AR38" s="99" t="str">
        <f t="shared" si="9"/>
        <v/>
      </c>
    </row>
    <row r="44" spans="1:77" s="85" customFormat="1" ht="24.95" customHeight="1">
      <c r="A44" s="891" t="s">
        <v>595</v>
      </c>
      <c r="B44" s="892"/>
      <c r="C44" s="100">
        <v>1</v>
      </c>
      <c r="D44" s="100">
        <f t="shared" ref="D44:L44" si="10">C44+1</f>
        <v>2</v>
      </c>
      <c r="E44" s="100">
        <f t="shared" si="10"/>
        <v>3</v>
      </c>
      <c r="F44" s="100">
        <f t="shared" si="10"/>
        <v>4</v>
      </c>
      <c r="G44" s="100">
        <f t="shared" si="10"/>
        <v>5</v>
      </c>
      <c r="H44" s="100">
        <f t="shared" si="10"/>
        <v>6</v>
      </c>
      <c r="I44" s="100">
        <f t="shared" si="10"/>
        <v>7</v>
      </c>
      <c r="J44" s="100">
        <f t="shared" si="10"/>
        <v>8</v>
      </c>
      <c r="K44" s="100">
        <f t="shared" si="10"/>
        <v>9</v>
      </c>
      <c r="L44" s="100">
        <f t="shared" si="10"/>
        <v>10</v>
      </c>
      <c r="M44" s="97"/>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row>
    <row r="45" spans="1:77" s="85" customFormat="1" ht="23.25" customHeight="1">
      <c r="A45" s="893" t="s">
        <v>28</v>
      </c>
      <c r="B45" s="894"/>
      <c r="C45" s="179"/>
      <c r="D45" s="173"/>
      <c r="E45" s="173"/>
      <c r="F45" s="173"/>
      <c r="G45" s="173"/>
      <c r="H45" s="173"/>
      <c r="I45" s="173"/>
      <c r="J45" s="173"/>
      <c r="K45" s="173"/>
      <c r="L45" s="173"/>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row>
    <row r="46" spans="1:77" s="85" customFormat="1" ht="24.95" customHeight="1">
      <c r="A46" s="91" t="s">
        <v>19</v>
      </c>
      <c r="B46" s="92" t="s">
        <v>130</v>
      </c>
      <c r="C46" s="174" t="s">
        <v>596</v>
      </c>
      <c r="D46" s="174">
        <f>ABS(D45-C45)</f>
        <v>0</v>
      </c>
      <c r="E46" s="174">
        <f t="shared" ref="E46:L46" si="11">ABS(E45-D45)</f>
        <v>0</v>
      </c>
      <c r="F46" s="174">
        <f t="shared" si="11"/>
        <v>0</v>
      </c>
      <c r="G46" s="174">
        <f t="shared" si="11"/>
        <v>0</v>
      </c>
      <c r="H46" s="174">
        <f t="shared" si="11"/>
        <v>0</v>
      </c>
      <c r="I46" s="174">
        <f t="shared" si="11"/>
        <v>0</v>
      </c>
      <c r="J46" s="174">
        <f t="shared" si="11"/>
        <v>0</v>
      </c>
      <c r="K46" s="174">
        <f t="shared" si="11"/>
        <v>0</v>
      </c>
      <c r="L46" s="174">
        <f t="shared" si="11"/>
        <v>0</v>
      </c>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row>
    <row r="47" spans="1:77">
      <c r="C47" s="101" t="str">
        <f>IF(C46&lt;&gt;"",IF(OR(C45&gt;$H$10,C45&lt;$M$10),"**",""),"")</f>
        <v/>
      </c>
      <c r="D47" s="101" t="str">
        <f>IF(D46&lt;&gt;"",IF(OR(D46&gt;$H$30,D45&gt;$H$10,D45&lt;$M$10),"**",""),"")</f>
        <v/>
      </c>
      <c r="E47" s="101" t="str">
        <f t="shared" ref="E47:L47" si="12">IF(E46&lt;&gt;"",IF(OR(E46&gt;$H$30,E45&gt;$H$10,E45&lt;$M$10),"**",""),"")</f>
        <v/>
      </c>
      <c r="F47" s="101" t="str">
        <f t="shared" si="12"/>
        <v/>
      </c>
      <c r="G47" s="101" t="str">
        <f t="shared" si="12"/>
        <v/>
      </c>
      <c r="H47" s="101" t="str">
        <f t="shared" si="12"/>
        <v/>
      </c>
      <c r="I47" s="101" t="str">
        <f t="shared" si="12"/>
        <v/>
      </c>
      <c r="J47" s="101" t="str">
        <f t="shared" si="12"/>
        <v/>
      </c>
      <c r="K47" s="101" t="str">
        <f t="shared" si="12"/>
        <v/>
      </c>
      <c r="L47" s="101" t="str">
        <f t="shared" si="12"/>
        <v/>
      </c>
      <c r="M47" s="101"/>
      <c r="N47" s="101"/>
      <c r="O47" s="101"/>
      <c r="P47" s="101"/>
      <c r="Q47" s="101"/>
      <c r="R47" s="101"/>
      <c r="S47" s="101"/>
      <c r="T47" s="101"/>
      <c r="U47" s="101"/>
      <c r="V47" s="101"/>
      <c r="W47" s="101"/>
      <c r="X47" s="101"/>
      <c r="Y47" s="101"/>
      <c r="Z47" s="101"/>
      <c r="AA47" s="101"/>
      <c r="AB47" s="101"/>
      <c r="AC47" s="101"/>
      <c r="AD47" s="101"/>
      <c r="AE47" s="101"/>
      <c r="AF47" s="101"/>
      <c r="AH47" s="97"/>
      <c r="AI47" s="97"/>
      <c r="AJ47" s="97"/>
      <c r="AK47" s="97"/>
      <c r="AL47" s="97"/>
      <c r="AM47" s="97"/>
      <c r="AN47" s="97"/>
      <c r="AO47" s="97"/>
      <c r="AP47" s="97"/>
      <c r="AQ47" s="97"/>
      <c r="AR47" s="97"/>
    </row>
    <row r="48" spans="1:77">
      <c r="C48" s="4" t="s">
        <v>131</v>
      </c>
      <c r="AH48" s="97"/>
      <c r="AI48" s="97"/>
      <c r="AJ48" s="97"/>
      <c r="AK48" s="97"/>
      <c r="AL48" s="97"/>
      <c r="AM48" s="97"/>
      <c r="AN48" s="97"/>
      <c r="AO48" s="97"/>
      <c r="AP48" s="97"/>
      <c r="AQ48" s="97"/>
      <c r="AR48" s="97"/>
    </row>
    <row r="50" spans="1:27" ht="20.25">
      <c r="A50" s="5"/>
      <c r="B50" s="890" t="s">
        <v>601</v>
      </c>
      <c r="C50" s="890"/>
      <c r="D50" s="890"/>
      <c r="E50" s="890"/>
      <c r="F50" s="890"/>
      <c r="G50" s="890"/>
      <c r="H50" s="890"/>
      <c r="I50" s="890"/>
      <c r="J50" s="890"/>
      <c r="K50" s="890"/>
      <c r="L50" s="890"/>
      <c r="M50" s="890"/>
      <c r="N50" s="890"/>
      <c r="O50" s="890"/>
      <c r="P50" s="890"/>
      <c r="Q50" s="890"/>
      <c r="R50" s="890"/>
      <c r="S50" s="890"/>
      <c r="T50" s="890"/>
      <c r="U50" s="890"/>
      <c r="V50" s="890"/>
      <c r="W50" s="890"/>
      <c r="X50" s="890"/>
      <c r="Y50" s="890"/>
      <c r="Z50" s="890"/>
      <c r="AA50" s="7"/>
    </row>
    <row r="51" spans="1:27">
      <c r="A51" s="5"/>
      <c r="B51" s="6"/>
      <c r="C51" s="6"/>
      <c r="D51" s="6"/>
      <c r="E51" s="6"/>
      <c r="F51" s="6"/>
      <c r="G51" s="6"/>
      <c r="H51" s="6"/>
      <c r="I51" s="6"/>
      <c r="J51" s="6"/>
      <c r="K51" s="6"/>
      <c r="L51" s="6"/>
      <c r="M51" s="6"/>
      <c r="N51" s="6"/>
      <c r="O51" s="6"/>
      <c r="P51" s="6"/>
      <c r="Q51" s="6"/>
      <c r="R51" s="6"/>
      <c r="S51" s="6"/>
      <c r="T51" s="6"/>
      <c r="U51" s="6"/>
      <c r="V51" s="6"/>
      <c r="W51" s="6"/>
      <c r="X51" s="6"/>
      <c r="Y51" s="6"/>
      <c r="Z51" s="6"/>
      <c r="AA51" s="7"/>
    </row>
    <row r="52" spans="1:27">
      <c r="A52" s="8"/>
      <c r="B52" t="s">
        <v>602</v>
      </c>
      <c r="G52" t="str">
        <f>IF(L45&lt;&gt;"",IF(OR(C47&lt;&gt;"",D47&lt;&gt;"",E47&lt;&gt;"",F47&lt;&gt;"",G47&lt;&gt;"",H47&lt;&gt;"",I47&lt;&gt;"",J47&lt;&gt;"",K47&lt;&gt;"",L47&lt;&gt;""),"No","Yes"),"")</f>
        <v/>
      </c>
      <c r="L52" t="s">
        <v>603</v>
      </c>
      <c r="R52" s="870" t="str">
        <f>IF(L45&lt;&gt;"",STDEV(C45:L45)*6/(R7-W7)*100,"")</f>
        <v/>
      </c>
      <c r="S52" s="870"/>
      <c r="T52" s="178"/>
      <c r="U52" s="178"/>
      <c r="W52" t="str">
        <f>IF(R52&lt;&gt;"",IF(R52&gt;30,"Reject","Accept"),"")</f>
        <v/>
      </c>
      <c r="AA52" s="9"/>
    </row>
    <row r="53" spans="1:27">
      <c r="A53" s="8"/>
      <c r="AA53" s="9"/>
    </row>
    <row r="54" spans="1:27">
      <c r="A54" s="8"/>
      <c r="B54" t="s">
        <v>241</v>
      </c>
      <c r="AA54" s="9"/>
    </row>
    <row r="55" spans="1:27">
      <c r="A55" s="10"/>
      <c r="B55" s="1"/>
      <c r="C55" s="1"/>
      <c r="D55" s="1"/>
      <c r="E55" s="1"/>
      <c r="F55" s="1"/>
      <c r="G55" s="1"/>
      <c r="H55" s="1"/>
      <c r="I55" s="1"/>
      <c r="J55" s="1"/>
      <c r="K55" s="1"/>
      <c r="L55" s="1"/>
      <c r="M55" s="1"/>
      <c r="N55" s="1"/>
      <c r="O55" s="1"/>
      <c r="P55" s="1"/>
      <c r="Q55" s="1"/>
      <c r="R55" s="1"/>
      <c r="S55" s="1"/>
      <c r="T55" s="1"/>
      <c r="U55" s="1"/>
      <c r="V55" s="1"/>
      <c r="W55" s="1"/>
      <c r="X55" s="1"/>
      <c r="Y55" s="1"/>
      <c r="Z55" s="1"/>
      <c r="AA55" s="11"/>
    </row>
  </sheetData>
  <mergeCells count="23">
    <mergeCell ref="W7:AA7"/>
    <mergeCell ref="I7:L7"/>
    <mergeCell ref="R52:S52"/>
    <mergeCell ref="A7:D7"/>
    <mergeCell ref="E7:H7"/>
    <mergeCell ref="M10:N10"/>
    <mergeCell ref="M7:Q7"/>
    <mergeCell ref="A2:F2"/>
    <mergeCell ref="H2:U2"/>
    <mergeCell ref="A3:F3"/>
    <mergeCell ref="Y3:AA3"/>
    <mergeCell ref="B50:Z50"/>
    <mergeCell ref="C10:D10"/>
    <mergeCell ref="H10:I10"/>
    <mergeCell ref="K5:S5"/>
    <mergeCell ref="T5:AA5"/>
    <mergeCell ref="A44:B44"/>
    <mergeCell ref="A5:J5"/>
    <mergeCell ref="A45:B45"/>
    <mergeCell ref="R7:V7"/>
    <mergeCell ref="C30:D30"/>
    <mergeCell ref="H30:I30"/>
    <mergeCell ref="M30:N30"/>
  </mergeCells>
  <phoneticPr fontId="27" type="noConversion"/>
  <pageMargins left="0.75" right="0.75" top="1.211944444" bottom="0.75" header="0.5" footer="0.5"/>
  <pageSetup scale="44" orientation="portrait" horizontalDpi="4294967292" verticalDpi="1200" r:id="rId1"/>
  <headerFooter>
    <oddHeader>&amp;L&amp;G&amp;C&amp;"Arial,Bold"&amp;14GAGE R&amp;&amp;R STUDY DATA SHEET</oddHeader>
    <oddFooter>&amp;C&amp;F</oddFooter>
  </headerFooter>
  <drawing r:id="rId2"/>
  <legacyDrawingHF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pageSetUpPr fitToPage="1"/>
  </sheetPr>
  <dimension ref="A1:IO56"/>
  <sheetViews>
    <sheetView showGridLines="0" showRowColHeaders="0" view="pageLayout" zoomScaleNormal="100" workbookViewId="0">
      <selection activeCell="U5" sqref="U5"/>
    </sheetView>
  </sheetViews>
  <sheetFormatPr defaultRowHeight="12.75"/>
  <cols>
    <col min="1" max="2" width="3.85546875" customWidth="1"/>
    <col min="3" max="6" width="5" customWidth="1"/>
    <col min="7" max="8" width="6" customWidth="1"/>
    <col min="9" max="10" width="4.28515625" style="279" customWidth="1"/>
    <col min="11" max="12" width="3.42578125" customWidth="1"/>
    <col min="13" max="18" width="6.42578125" customWidth="1"/>
    <col min="19" max="20" width="5" customWidth="1"/>
    <col min="22" max="22" width="1.85546875" customWidth="1"/>
    <col min="23" max="249" width="8.85546875" hidden="1" customWidth="1"/>
  </cols>
  <sheetData>
    <row r="1" spans="1:29" ht="18">
      <c r="C1" s="33"/>
      <c r="H1" s="14"/>
    </row>
    <row r="2" spans="1:29" ht="18">
      <c r="A2" s="203"/>
      <c r="B2" s="203"/>
      <c r="C2" s="203"/>
      <c r="H2" s="830" t="s">
        <v>902</v>
      </c>
      <c r="I2" s="830"/>
      <c r="J2" s="830"/>
      <c r="K2" s="830"/>
      <c r="L2" s="830"/>
      <c r="M2" s="830"/>
      <c r="N2" s="830"/>
      <c r="O2" s="830"/>
      <c r="P2" s="830"/>
      <c r="Q2" s="830"/>
      <c r="R2" s="830"/>
      <c r="S2" s="830"/>
      <c r="T2" s="830"/>
      <c r="U2" s="830"/>
    </row>
    <row r="3" spans="1:29" ht="6" customHeight="1">
      <c r="A3" s="204"/>
      <c r="B3" s="204"/>
      <c r="C3" s="204"/>
    </row>
    <row r="4" spans="1:29">
      <c r="A4" s="898" t="s">
        <v>823</v>
      </c>
      <c r="B4" s="899"/>
      <c r="C4" s="899"/>
      <c r="D4" s="909">
        <f>'Header Info'!C11</f>
        <v>0</v>
      </c>
      <c r="E4" s="909"/>
      <c r="F4" s="909"/>
      <c r="G4" s="909"/>
      <c r="H4" s="909"/>
      <c r="I4" s="909"/>
      <c r="J4" s="910"/>
      <c r="K4" s="186" t="s">
        <v>565</v>
      </c>
      <c r="L4" s="6"/>
      <c r="M4" s="6"/>
      <c r="N4" s="909">
        <f>'Header Info'!C7</f>
        <v>0</v>
      </c>
      <c r="O4" s="909"/>
      <c r="P4" s="909"/>
      <c r="Q4" s="909"/>
      <c r="R4" s="909"/>
      <c r="S4" s="909"/>
      <c r="T4" s="910"/>
      <c r="U4" s="8"/>
    </row>
    <row r="5" spans="1:29">
      <c r="A5" s="901" t="s">
        <v>824</v>
      </c>
      <c r="B5" s="902"/>
      <c r="C5" s="902"/>
      <c r="D5" s="900">
        <f>'Header Info'!C12</f>
        <v>0</v>
      </c>
      <c r="E5" s="900"/>
      <c r="F5" s="900"/>
      <c r="G5" s="104"/>
      <c r="H5" s="104"/>
      <c r="I5" s="104"/>
      <c r="J5" s="576"/>
      <c r="K5" s="187" t="s">
        <v>133</v>
      </c>
      <c r="N5" s="909">
        <f>'Header Info'!C6</f>
        <v>0</v>
      </c>
      <c r="O5" s="909"/>
      <c r="P5" s="909"/>
      <c r="Q5" s="909"/>
      <c r="R5" s="909"/>
      <c r="S5" s="909"/>
      <c r="T5" s="910"/>
      <c r="U5" s="8"/>
    </row>
    <row r="6" spans="1:29">
      <c r="A6" s="905" t="s">
        <v>369</v>
      </c>
      <c r="B6" s="906"/>
      <c r="C6" s="906"/>
      <c r="D6" s="906"/>
      <c r="E6" s="903"/>
      <c r="F6" s="903"/>
      <c r="G6" s="903"/>
      <c r="H6" s="903"/>
      <c r="I6" s="903"/>
      <c r="J6" s="904"/>
      <c r="K6" s="907" t="s">
        <v>825</v>
      </c>
      <c r="L6" s="906"/>
      <c r="M6" s="906"/>
      <c r="N6" s="906"/>
      <c r="O6" s="906"/>
      <c r="P6" s="906"/>
      <c r="Q6" s="909">
        <f>'Header Info'!C8</f>
        <v>0</v>
      </c>
      <c r="R6" s="909"/>
      <c r="S6" s="909"/>
      <c r="T6" s="910"/>
      <c r="U6" s="8"/>
    </row>
    <row r="7" spans="1:29">
      <c r="A7" s="106"/>
      <c r="B7" s="104"/>
      <c r="C7" s="104"/>
      <c r="D7" s="104"/>
      <c r="E7" s="104"/>
      <c r="F7" s="104"/>
      <c r="G7" s="104"/>
      <c r="H7" s="104"/>
      <c r="I7" s="280"/>
      <c r="J7" s="281"/>
      <c r="K7" s="187" t="s">
        <v>370</v>
      </c>
      <c r="Q7" s="900"/>
      <c r="R7" s="900"/>
      <c r="S7" s="900"/>
      <c r="T7" s="912"/>
      <c r="U7" s="8"/>
    </row>
    <row r="8" spans="1:29">
      <c r="A8" s="107"/>
      <c r="B8" s="103"/>
      <c r="C8" s="103"/>
      <c r="D8" s="103"/>
      <c r="E8" s="103"/>
      <c r="F8" s="103"/>
      <c r="G8" s="103"/>
      <c r="H8" s="103"/>
      <c r="I8" s="282"/>
      <c r="J8" s="283"/>
      <c r="K8" s="107"/>
      <c r="L8" s="103"/>
      <c r="M8" s="103"/>
      <c r="N8" s="103"/>
      <c r="O8" s="103"/>
      <c r="P8" s="103"/>
      <c r="Q8" s="103"/>
      <c r="R8" s="103"/>
      <c r="S8" s="103"/>
      <c r="T8" s="105"/>
      <c r="U8" s="10"/>
      <c r="W8" s="276" t="s">
        <v>569</v>
      </c>
      <c r="X8" s="277"/>
      <c r="Y8" s="277"/>
      <c r="Z8" s="277"/>
      <c r="AA8" s="277"/>
      <c r="AB8" s="277"/>
      <c r="AC8" s="277"/>
    </row>
    <row r="9" spans="1:29">
      <c r="A9" s="911" t="s">
        <v>22</v>
      </c>
      <c r="B9" s="911"/>
      <c r="C9" s="911" t="s">
        <v>362</v>
      </c>
      <c r="D9" s="911"/>
      <c r="E9" s="911"/>
      <c r="F9" s="911"/>
      <c r="G9" s="911" t="s">
        <v>363</v>
      </c>
      <c r="H9" s="911"/>
      <c r="I9" s="913" t="s">
        <v>364</v>
      </c>
      <c r="J9" s="913"/>
      <c r="K9" s="911" t="s">
        <v>365</v>
      </c>
      <c r="L9" s="911"/>
      <c r="M9" s="911" t="s">
        <v>366</v>
      </c>
      <c r="N9" s="911"/>
      <c r="O9" s="911"/>
      <c r="P9" s="911"/>
      <c r="Q9" s="911"/>
      <c r="R9" s="911"/>
      <c r="S9" s="911" t="s">
        <v>23</v>
      </c>
      <c r="T9" s="911" t="s">
        <v>367</v>
      </c>
      <c r="U9" s="908" t="s">
        <v>761</v>
      </c>
      <c r="V9" s="633"/>
      <c r="W9" s="277" t="s">
        <v>156</v>
      </c>
      <c r="X9" s="277"/>
      <c r="Y9" s="277"/>
      <c r="Z9" s="277"/>
      <c r="AA9" s="277"/>
      <c r="AB9" s="277"/>
      <c r="AC9" s="277"/>
    </row>
    <row r="10" spans="1:29">
      <c r="A10" s="911"/>
      <c r="B10" s="911"/>
      <c r="C10" s="911"/>
      <c r="D10" s="911"/>
      <c r="E10" s="911"/>
      <c r="F10" s="911"/>
      <c r="G10" s="911"/>
      <c r="H10" s="911"/>
      <c r="I10" s="913"/>
      <c r="J10" s="913"/>
      <c r="K10" s="911"/>
      <c r="L10" s="911"/>
      <c r="M10" s="911"/>
      <c r="N10" s="911"/>
      <c r="O10" s="911"/>
      <c r="P10" s="911"/>
      <c r="Q10" s="911"/>
      <c r="R10" s="911"/>
      <c r="S10" s="911"/>
      <c r="T10" s="911"/>
      <c r="U10" s="908"/>
      <c r="V10" s="633"/>
      <c r="W10" s="277" t="s">
        <v>157</v>
      </c>
      <c r="X10" s="277" t="s">
        <v>158</v>
      </c>
      <c r="Y10" s="277" t="s">
        <v>159</v>
      </c>
      <c r="Z10" s="277" t="s">
        <v>160</v>
      </c>
      <c r="AA10" s="277" t="s">
        <v>161</v>
      </c>
      <c r="AB10" s="277" t="s">
        <v>162</v>
      </c>
      <c r="AC10" s="277"/>
    </row>
    <row r="11" spans="1:29">
      <c r="A11" s="915"/>
      <c r="B11" s="915"/>
      <c r="C11" s="916"/>
      <c r="D11" s="916"/>
      <c r="E11" s="916"/>
      <c r="F11" s="916"/>
      <c r="G11" s="634"/>
      <c r="H11" s="636"/>
      <c r="I11" s="914"/>
      <c r="J11" s="914"/>
      <c r="K11" s="915"/>
      <c r="L11" s="915"/>
      <c r="M11" s="634"/>
      <c r="N11" s="635"/>
      <c r="O11" s="635"/>
      <c r="P11" s="635"/>
      <c r="Q11" s="635"/>
      <c r="R11" s="636"/>
      <c r="S11" s="201" t="str">
        <f>IF(M11="","",IF(AC11&gt;0,"","X"))</f>
        <v/>
      </c>
      <c r="T11" s="201" t="str">
        <f>IF(M11="","",IF(AC11&gt;0,"X",""))</f>
        <v/>
      </c>
      <c r="U11" s="267"/>
      <c r="V11" s="104"/>
      <c r="W11" s="277" t="str">
        <f t="shared" ref="W11:AB13" si="0">IF(M11="","",IF(AND($G11="n/a",M11&lt;=$H11),"OK",IF(AND($H11="n/a",M11&gt;=$G11),"OK",IF(AND(M11&gt;=$G11,M11&lt;=$H11),"OK","NOT OK"))))</f>
        <v/>
      </c>
      <c r="X11" s="277" t="str">
        <f t="shared" si="0"/>
        <v/>
      </c>
      <c r="Y11" s="277" t="str">
        <f t="shared" si="0"/>
        <v/>
      </c>
      <c r="Z11" s="277" t="str">
        <f t="shared" si="0"/>
        <v/>
      </c>
      <c r="AA11" s="277" t="str">
        <f t="shared" si="0"/>
        <v/>
      </c>
      <c r="AB11" s="277" t="str">
        <f t="shared" si="0"/>
        <v/>
      </c>
      <c r="AC11" s="278">
        <f>COUNTIF(W11:AB11,"NOT OK")</f>
        <v>0</v>
      </c>
    </row>
    <row r="12" spans="1:29">
      <c r="A12" s="915"/>
      <c r="B12" s="915"/>
      <c r="C12" s="916"/>
      <c r="D12" s="916"/>
      <c r="E12" s="916"/>
      <c r="F12" s="916"/>
      <c r="G12" s="634"/>
      <c r="H12" s="636"/>
      <c r="I12" s="914"/>
      <c r="J12" s="914"/>
      <c r="K12" s="915"/>
      <c r="L12" s="915"/>
      <c r="M12" s="634"/>
      <c r="N12" s="635"/>
      <c r="O12" s="635"/>
      <c r="P12" s="635"/>
      <c r="Q12" s="635"/>
      <c r="R12" s="636"/>
      <c r="S12" s="201" t="str">
        <f>IF(M12="","",IF(AC12&gt;0,"","X"))</f>
        <v/>
      </c>
      <c r="T12" s="201" t="str">
        <f>IF(M12="","",IF(AC12&gt;0,"X",""))</f>
        <v/>
      </c>
      <c r="U12" s="267"/>
      <c r="V12" s="104"/>
      <c r="W12" s="277" t="str">
        <f t="shared" si="0"/>
        <v/>
      </c>
      <c r="X12" s="277" t="str">
        <f t="shared" si="0"/>
        <v/>
      </c>
      <c r="Y12" s="277" t="str">
        <f t="shared" si="0"/>
        <v/>
      </c>
      <c r="Z12" s="277" t="str">
        <f t="shared" si="0"/>
        <v/>
      </c>
      <c r="AA12" s="277" t="str">
        <f t="shared" si="0"/>
        <v/>
      </c>
      <c r="AB12" s="277" t="str">
        <f t="shared" si="0"/>
        <v/>
      </c>
      <c r="AC12" s="278">
        <f>COUNTIF(W12:AB12,"NOT OK")</f>
        <v>0</v>
      </c>
    </row>
    <row r="13" spans="1:29">
      <c r="A13" s="915"/>
      <c r="B13" s="915"/>
      <c r="C13" s="916"/>
      <c r="D13" s="916"/>
      <c r="E13" s="916"/>
      <c r="F13" s="916"/>
      <c r="G13" s="634"/>
      <c r="H13" s="636"/>
      <c r="I13" s="914"/>
      <c r="J13" s="914"/>
      <c r="K13" s="915"/>
      <c r="L13" s="915"/>
      <c r="M13" s="634"/>
      <c r="N13" s="635"/>
      <c r="O13" s="635"/>
      <c r="P13" s="635"/>
      <c r="Q13" s="635"/>
      <c r="R13" s="636"/>
      <c r="S13" s="201" t="str">
        <f>IF(M13="","",IF(AC13&gt;0,"","X"))</f>
        <v/>
      </c>
      <c r="T13" s="201" t="str">
        <f>IF(M13="","",IF(AC13&gt;0,"X",""))</f>
        <v/>
      </c>
      <c r="U13" s="267"/>
      <c r="V13" s="104"/>
      <c r="W13" s="277" t="str">
        <f t="shared" si="0"/>
        <v/>
      </c>
      <c r="X13" s="277" t="str">
        <f t="shared" si="0"/>
        <v/>
      </c>
      <c r="Y13" s="277" t="str">
        <f t="shared" si="0"/>
        <v/>
      </c>
      <c r="Z13" s="277" t="str">
        <f t="shared" si="0"/>
        <v/>
      </c>
      <c r="AA13" s="277" t="str">
        <f t="shared" si="0"/>
        <v/>
      </c>
      <c r="AB13" s="277" t="str">
        <f t="shared" si="0"/>
        <v/>
      </c>
      <c r="AC13" s="278">
        <f>COUNTIF(W13:AB13,"NOT OK")</f>
        <v>0</v>
      </c>
    </row>
    <row r="14" spans="1:29">
      <c r="A14" s="915"/>
      <c r="B14" s="915"/>
      <c r="C14" s="916"/>
      <c r="D14" s="916"/>
      <c r="E14" s="916"/>
      <c r="F14" s="916"/>
      <c r="G14" s="634"/>
      <c r="H14" s="636"/>
      <c r="I14" s="914"/>
      <c r="J14" s="914"/>
      <c r="K14" s="915"/>
      <c r="L14" s="915"/>
      <c r="M14" s="634"/>
      <c r="N14" s="635"/>
      <c r="O14" s="635"/>
      <c r="P14" s="635"/>
      <c r="Q14" s="635"/>
      <c r="R14" s="636"/>
      <c r="S14" s="201" t="str">
        <f t="shared" ref="S14:S25" si="1">IF(M14="","",IF(AC14&gt;0,"","X"))</f>
        <v/>
      </c>
      <c r="T14" s="201" t="str">
        <f t="shared" ref="T14:T25" si="2">IF(M14="","",IF(AC14&gt;0,"X",""))</f>
        <v/>
      </c>
      <c r="U14" s="267"/>
      <c r="V14" s="104"/>
      <c r="W14" s="277" t="str">
        <f t="shared" ref="W14:W25" si="3">IF(M14="","",IF(AND($G14="n/a",M14&lt;=$H14),"OK",IF(AND($H14="n/a",M14&gt;=$G14),"OK",IF(AND(M14&gt;=$G14,M14&lt;=$H14),"OK","NOT OK"))))</f>
        <v/>
      </c>
      <c r="X14" s="277" t="str">
        <f t="shared" ref="X14:X25" si="4">IF(N14="","",IF(AND($G14="n/a",N14&lt;=$H14),"OK",IF(AND($H14="n/a",N14&gt;=$G14),"OK",IF(AND(N14&gt;=$G14,N14&lt;=$H14),"OK","NOT OK"))))</f>
        <v/>
      </c>
      <c r="Y14" s="277" t="str">
        <f t="shared" ref="Y14:Y25" si="5">IF(O14="","",IF(AND($G14="n/a",O14&lt;=$H14),"OK",IF(AND($H14="n/a",O14&gt;=$G14),"OK",IF(AND(O14&gt;=$G14,O14&lt;=$H14),"OK","NOT OK"))))</f>
        <v/>
      </c>
      <c r="Z14" s="277" t="str">
        <f t="shared" ref="Z14:Z25" si="6">IF(P14="","",IF(AND($G14="n/a",P14&lt;=$H14),"OK",IF(AND($H14="n/a",P14&gt;=$G14),"OK",IF(AND(P14&gt;=$G14,P14&lt;=$H14),"OK","NOT OK"))))</f>
        <v/>
      </c>
      <c r="AA14" s="277" t="str">
        <f t="shared" ref="AA14:AA25" si="7">IF(Q14="","",IF(AND($G14="n/a",Q14&lt;=$H14),"OK",IF(AND($H14="n/a",Q14&gt;=$G14),"OK",IF(AND(Q14&gt;=$G14,Q14&lt;=$H14),"OK","NOT OK"))))</f>
        <v/>
      </c>
      <c r="AB14" s="277" t="str">
        <f t="shared" ref="AB14:AB25" si="8">IF(R14="","",IF(AND($G14="n/a",R14&lt;=$H14),"OK",IF(AND($H14="n/a",R14&gt;=$G14),"OK",IF(AND(R14&gt;=$G14,R14&lt;=$H14),"OK","NOT OK"))))</f>
        <v/>
      </c>
      <c r="AC14" s="278">
        <f t="shared" ref="AC14:AC25" si="9">COUNTIF(W14:AB14,"NOT OK")</f>
        <v>0</v>
      </c>
    </row>
    <row r="15" spans="1:29">
      <c r="A15" s="915"/>
      <c r="B15" s="915"/>
      <c r="C15" s="916"/>
      <c r="D15" s="916"/>
      <c r="E15" s="916"/>
      <c r="F15" s="916"/>
      <c r="G15" s="634"/>
      <c r="H15" s="636"/>
      <c r="I15" s="914"/>
      <c r="J15" s="914"/>
      <c r="K15" s="915"/>
      <c r="L15" s="915"/>
      <c r="M15" s="634"/>
      <c r="N15" s="635"/>
      <c r="O15" s="635"/>
      <c r="P15" s="635"/>
      <c r="Q15" s="635"/>
      <c r="R15" s="636"/>
      <c r="S15" s="201" t="str">
        <f t="shared" si="1"/>
        <v/>
      </c>
      <c r="T15" s="201" t="str">
        <f t="shared" si="2"/>
        <v/>
      </c>
      <c r="U15" s="267"/>
      <c r="V15" s="104"/>
      <c r="W15" s="277" t="str">
        <f t="shared" si="3"/>
        <v/>
      </c>
      <c r="X15" s="277" t="str">
        <f t="shared" si="4"/>
        <v/>
      </c>
      <c r="Y15" s="277" t="str">
        <f t="shared" si="5"/>
        <v/>
      </c>
      <c r="Z15" s="277" t="str">
        <f t="shared" si="6"/>
        <v/>
      </c>
      <c r="AA15" s="277" t="str">
        <f t="shared" si="7"/>
        <v/>
      </c>
      <c r="AB15" s="277" t="str">
        <f t="shared" si="8"/>
        <v/>
      </c>
      <c r="AC15" s="278">
        <f t="shared" si="9"/>
        <v>0</v>
      </c>
    </row>
    <row r="16" spans="1:29">
      <c r="A16" s="915"/>
      <c r="B16" s="915"/>
      <c r="C16" s="916"/>
      <c r="D16" s="916"/>
      <c r="E16" s="916"/>
      <c r="F16" s="916"/>
      <c r="G16" s="634"/>
      <c r="H16" s="636"/>
      <c r="I16" s="914"/>
      <c r="J16" s="914"/>
      <c r="K16" s="915"/>
      <c r="L16" s="915"/>
      <c r="M16" s="634"/>
      <c r="N16" s="635"/>
      <c r="O16" s="635"/>
      <c r="P16" s="635"/>
      <c r="Q16" s="635"/>
      <c r="R16" s="636"/>
      <c r="S16" s="201" t="str">
        <f t="shared" si="1"/>
        <v/>
      </c>
      <c r="T16" s="201" t="str">
        <f t="shared" si="2"/>
        <v/>
      </c>
      <c r="U16" s="267"/>
      <c r="V16" s="104"/>
      <c r="W16" s="277" t="str">
        <f t="shared" si="3"/>
        <v/>
      </c>
      <c r="X16" s="277" t="str">
        <f t="shared" si="4"/>
        <v/>
      </c>
      <c r="Y16" s="277" t="str">
        <f t="shared" si="5"/>
        <v/>
      </c>
      <c r="Z16" s="277" t="str">
        <f t="shared" si="6"/>
        <v/>
      </c>
      <c r="AA16" s="277" t="str">
        <f t="shared" si="7"/>
        <v/>
      </c>
      <c r="AB16" s="277" t="str">
        <f t="shared" si="8"/>
        <v/>
      </c>
      <c r="AC16" s="278">
        <f t="shared" si="9"/>
        <v>0</v>
      </c>
    </row>
    <row r="17" spans="1:29">
      <c r="A17" s="915"/>
      <c r="B17" s="915"/>
      <c r="C17" s="916"/>
      <c r="D17" s="916"/>
      <c r="E17" s="916"/>
      <c r="F17" s="916"/>
      <c r="G17" s="634"/>
      <c r="H17" s="636"/>
      <c r="I17" s="914"/>
      <c r="J17" s="914"/>
      <c r="K17" s="915"/>
      <c r="L17" s="915"/>
      <c r="M17" s="634"/>
      <c r="N17" s="635"/>
      <c r="O17" s="635"/>
      <c r="P17" s="635"/>
      <c r="Q17" s="635"/>
      <c r="R17" s="636"/>
      <c r="S17" s="201" t="str">
        <f t="shared" si="1"/>
        <v/>
      </c>
      <c r="T17" s="201" t="str">
        <f t="shared" si="2"/>
        <v/>
      </c>
      <c r="U17" s="267"/>
      <c r="V17" s="104"/>
      <c r="W17" s="277" t="str">
        <f t="shared" si="3"/>
        <v/>
      </c>
      <c r="X17" s="277" t="str">
        <f t="shared" si="4"/>
        <v/>
      </c>
      <c r="Y17" s="277" t="str">
        <f t="shared" si="5"/>
        <v/>
      </c>
      <c r="Z17" s="277" t="str">
        <f t="shared" si="6"/>
        <v/>
      </c>
      <c r="AA17" s="277" t="str">
        <f t="shared" si="7"/>
        <v/>
      </c>
      <c r="AB17" s="277" t="str">
        <f t="shared" si="8"/>
        <v/>
      </c>
      <c r="AC17" s="278">
        <f t="shared" si="9"/>
        <v>0</v>
      </c>
    </row>
    <row r="18" spans="1:29">
      <c r="A18" s="915"/>
      <c r="B18" s="915"/>
      <c r="C18" s="916"/>
      <c r="D18" s="916"/>
      <c r="E18" s="916"/>
      <c r="F18" s="916"/>
      <c r="G18" s="634"/>
      <c r="H18" s="636"/>
      <c r="I18" s="914"/>
      <c r="J18" s="914"/>
      <c r="K18" s="915"/>
      <c r="L18" s="915"/>
      <c r="M18" s="634"/>
      <c r="N18" s="635"/>
      <c r="O18" s="635"/>
      <c r="P18" s="635"/>
      <c r="Q18" s="635"/>
      <c r="R18" s="636"/>
      <c r="S18" s="201" t="str">
        <f t="shared" si="1"/>
        <v/>
      </c>
      <c r="T18" s="201" t="str">
        <f t="shared" si="2"/>
        <v/>
      </c>
      <c r="U18" s="267"/>
      <c r="V18" s="104"/>
      <c r="W18" s="277" t="str">
        <f t="shared" si="3"/>
        <v/>
      </c>
      <c r="X18" s="277" t="str">
        <f t="shared" si="4"/>
        <v/>
      </c>
      <c r="Y18" s="277" t="str">
        <f t="shared" si="5"/>
        <v/>
      </c>
      <c r="Z18" s="277" t="str">
        <f t="shared" si="6"/>
        <v/>
      </c>
      <c r="AA18" s="277" t="str">
        <f t="shared" si="7"/>
        <v/>
      </c>
      <c r="AB18" s="277" t="str">
        <f t="shared" si="8"/>
        <v/>
      </c>
      <c r="AC18" s="278">
        <f t="shared" si="9"/>
        <v>0</v>
      </c>
    </row>
    <row r="19" spans="1:29">
      <c r="A19" s="915"/>
      <c r="B19" s="915"/>
      <c r="C19" s="916"/>
      <c r="D19" s="916"/>
      <c r="E19" s="916"/>
      <c r="F19" s="916"/>
      <c r="G19" s="634"/>
      <c r="H19" s="636"/>
      <c r="I19" s="914"/>
      <c r="J19" s="914"/>
      <c r="K19" s="915"/>
      <c r="L19" s="915"/>
      <c r="M19" s="634"/>
      <c r="N19" s="635"/>
      <c r="O19" s="635"/>
      <c r="P19" s="635"/>
      <c r="Q19" s="635"/>
      <c r="R19" s="636"/>
      <c r="S19" s="201" t="str">
        <f t="shared" si="1"/>
        <v/>
      </c>
      <c r="T19" s="201" t="str">
        <f t="shared" si="2"/>
        <v/>
      </c>
      <c r="U19" s="267"/>
      <c r="V19" s="104"/>
      <c r="W19" s="277" t="str">
        <f t="shared" si="3"/>
        <v/>
      </c>
      <c r="X19" s="277" t="str">
        <f t="shared" si="4"/>
        <v/>
      </c>
      <c r="Y19" s="277" t="str">
        <f t="shared" si="5"/>
        <v/>
      </c>
      <c r="Z19" s="277" t="str">
        <f t="shared" si="6"/>
        <v/>
      </c>
      <c r="AA19" s="277" t="str">
        <f t="shared" si="7"/>
        <v/>
      </c>
      <c r="AB19" s="277" t="str">
        <f t="shared" si="8"/>
        <v/>
      </c>
      <c r="AC19" s="278">
        <f t="shared" si="9"/>
        <v>0</v>
      </c>
    </row>
    <row r="20" spans="1:29">
      <c r="A20" s="915"/>
      <c r="B20" s="915"/>
      <c r="C20" s="916"/>
      <c r="D20" s="916"/>
      <c r="E20" s="916"/>
      <c r="F20" s="916"/>
      <c r="G20" s="634"/>
      <c r="H20" s="636"/>
      <c r="I20" s="914"/>
      <c r="J20" s="914"/>
      <c r="K20" s="915"/>
      <c r="L20" s="915"/>
      <c r="M20" s="634"/>
      <c r="N20" s="635"/>
      <c r="O20" s="635"/>
      <c r="P20" s="635"/>
      <c r="Q20" s="635"/>
      <c r="R20" s="636"/>
      <c r="S20" s="201" t="str">
        <f t="shared" si="1"/>
        <v/>
      </c>
      <c r="T20" s="201" t="str">
        <f t="shared" si="2"/>
        <v/>
      </c>
      <c r="U20" s="267"/>
      <c r="V20" s="104"/>
      <c r="W20" s="277" t="str">
        <f t="shared" si="3"/>
        <v/>
      </c>
      <c r="X20" s="277" t="str">
        <f t="shared" si="4"/>
        <v/>
      </c>
      <c r="Y20" s="277" t="str">
        <f t="shared" si="5"/>
        <v/>
      </c>
      <c r="Z20" s="277" t="str">
        <f t="shared" si="6"/>
        <v/>
      </c>
      <c r="AA20" s="277" t="str">
        <f t="shared" si="7"/>
        <v/>
      </c>
      <c r="AB20" s="277" t="str">
        <f t="shared" si="8"/>
        <v/>
      </c>
      <c r="AC20" s="278">
        <f t="shared" si="9"/>
        <v>0</v>
      </c>
    </row>
    <row r="21" spans="1:29">
      <c r="A21" s="915"/>
      <c r="B21" s="915"/>
      <c r="C21" s="916"/>
      <c r="D21" s="916"/>
      <c r="E21" s="916"/>
      <c r="F21" s="916"/>
      <c r="G21" s="634"/>
      <c r="H21" s="636"/>
      <c r="I21" s="914"/>
      <c r="J21" s="914"/>
      <c r="K21" s="915"/>
      <c r="L21" s="915"/>
      <c r="M21" s="634"/>
      <c r="N21" s="635"/>
      <c r="O21" s="635"/>
      <c r="P21" s="635"/>
      <c r="Q21" s="635"/>
      <c r="R21" s="636"/>
      <c r="S21" s="201" t="str">
        <f t="shared" si="1"/>
        <v/>
      </c>
      <c r="T21" s="201" t="str">
        <f t="shared" si="2"/>
        <v/>
      </c>
      <c r="U21" s="267"/>
      <c r="V21" s="104"/>
      <c r="W21" s="277" t="str">
        <f t="shared" si="3"/>
        <v/>
      </c>
      <c r="X21" s="277" t="str">
        <f t="shared" si="4"/>
        <v/>
      </c>
      <c r="Y21" s="277" t="str">
        <f t="shared" si="5"/>
        <v/>
      </c>
      <c r="Z21" s="277" t="str">
        <f t="shared" si="6"/>
        <v/>
      </c>
      <c r="AA21" s="277" t="str">
        <f t="shared" si="7"/>
        <v/>
      </c>
      <c r="AB21" s="277" t="str">
        <f t="shared" si="8"/>
        <v/>
      </c>
      <c r="AC21" s="278">
        <f t="shared" si="9"/>
        <v>0</v>
      </c>
    </row>
    <row r="22" spans="1:29">
      <c r="A22" s="915"/>
      <c r="B22" s="915"/>
      <c r="C22" s="916"/>
      <c r="D22" s="916"/>
      <c r="E22" s="916"/>
      <c r="F22" s="916"/>
      <c r="G22" s="634"/>
      <c r="H22" s="636"/>
      <c r="I22" s="914"/>
      <c r="J22" s="914"/>
      <c r="K22" s="915"/>
      <c r="L22" s="915"/>
      <c r="M22" s="634"/>
      <c r="N22" s="635"/>
      <c r="O22" s="635"/>
      <c r="P22" s="635"/>
      <c r="Q22" s="635"/>
      <c r="R22" s="636"/>
      <c r="S22" s="201" t="str">
        <f t="shared" si="1"/>
        <v/>
      </c>
      <c r="T22" s="201" t="str">
        <f t="shared" si="2"/>
        <v/>
      </c>
      <c r="U22" s="267"/>
      <c r="V22" s="104"/>
      <c r="W22" s="277" t="str">
        <f t="shared" si="3"/>
        <v/>
      </c>
      <c r="X22" s="277" t="str">
        <f t="shared" si="4"/>
        <v/>
      </c>
      <c r="Y22" s="277" t="str">
        <f t="shared" si="5"/>
        <v/>
      </c>
      <c r="Z22" s="277" t="str">
        <f t="shared" si="6"/>
        <v/>
      </c>
      <c r="AA22" s="277" t="str">
        <f t="shared" si="7"/>
        <v/>
      </c>
      <c r="AB22" s="277" t="str">
        <f t="shared" si="8"/>
        <v/>
      </c>
      <c r="AC22" s="278">
        <f t="shared" si="9"/>
        <v>0</v>
      </c>
    </row>
    <row r="23" spans="1:29">
      <c r="A23" s="915"/>
      <c r="B23" s="915"/>
      <c r="C23" s="916"/>
      <c r="D23" s="916"/>
      <c r="E23" s="916"/>
      <c r="F23" s="916"/>
      <c r="G23" s="634"/>
      <c r="H23" s="636"/>
      <c r="I23" s="914"/>
      <c r="J23" s="914"/>
      <c r="K23" s="915"/>
      <c r="L23" s="915"/>
      <c r="M23" s="634"/>
      <c r="N23" s="635"/>
      <c r="O23" s="635"/>
      <c r="P23" s="635"/>
      <c r="Q23" s="635"/>
      <c r="R23" s="636"/>
      <c r="S23" s="201" t="str">
        <f t="shared" si="1"/>
        <v/>
      </c>
      <c r="T23" s="201" t="str">
        <f t="shared" si="2"/>
        <v/>
      </c>
      <c r="U23" s="267"/>
      <c r="V23" s="104"/>
      <c r="W23" s="277" t="str">
        <f t="shared" si="3"/>
        <v/>
      </c>
      <c r="X23" s="277" t="str">
        <f t="shared" si="4"/>
        <v/>
      </c>
      <c r="Y23" s="277" t="str">
        <f t="shared" si="5"/>
        <v/>
      </c>
      <c r="Z23" s="277" t="str">
        <f t="shared" si="6"/>
        <v/>
      </c>
      <c r="AA23" s="277" t="str">
        <f t="shared" si="7"/>
        <v/>
      </c>
      <c r="AB23" s="277" t="str">
        <f t="shared" si="8"/>
        <v/>
      </c>
      <c r="AC23" s="278">
        <f t="shared" si="9"/>
        <v>0</v>
      </c>
    </row>
    <row r="24" spans="1:29">
      <c r="A24" s="915"/>
      <c r="B24" s="915"/>
      <c r="C24" s="916"/>
      <c r="D24" s="916"/>
      <c r="E24" s="916"/>
      <c r="F24" s="916"/>
      <c r="G24" s="634"/>
      <c r="H24" s="636"/>
      <c r="I24" s="914"/>
      <c r="J24" s="914"/>
      <c r="K24" s="915"/>
      <c r="L24" s="915"/>
      <c r="M24" s="634"/>
      <c r="N24" s="635"/>
      <c r="O24" s="635"/>
      <c r="P24" s="635"/>
      <c r="Q24" s="635"/>
      <c r="R24" s="636"/>
      <c r="S24" s="201" t="str">
        <f t="shared" si="1"/>
        <v/>
      </c>
      <c r="T24" s="201" t="str">
        <f t="shared" si="2"/>
        <v/>
      </c>
      <c r="U24" s="267"/>
      <c r="V24" s="104"/>
      <c r="W24" s="277" t="str">
        <f t="shared" si="3"/>
        <v/>
      </c>
      <c r="X24" s="277" t="str">
        <f t="shared" si="4"/>
        <v/>
      </c>
      <c r="Y24" s="277" t="str">
        <f t="shared" si="5"/>
        <v/>
      </c>
      <c r="Z24" s="277" t="str">
        <f t="shared" si="6"/>
        <v/>
      </c>
      <c r="AA24" s="277" t="str">
        <f t="shared" si="7"/>
        <v/>
      </c>
      <c r="AB24" s="277" t="str">
        <f t="shared" si="8"/>
        <v/>
      </c>
      <c r="AC24" s="278">
        <f t="shared" si="9"/>
        <v>0</v>
      </c>
    </row>
    <row r="25" spans="1:29">
      <c r="A25" s="915"/>
      <c r="B25" s="915"/>
      <c r="C25" s="916"/>
      <c r="D25" s="916"/>
      <c r="E25" s="916"/>
      <c r="F25" s="916"/>
      <c r="G25" s="634"/>
      <c r="H25" s="636"/>
      <c r="I25" s="914"/>
      <c r="J25" s="914"/>
      <c r="K25" s="915"/>
      <c r="L25" s="915"/>
      <c r="M25" s="634"/>
      <c r="N25" s="635"/>
      <c r="O25" s="635"/>
      <c r="P25" s="635"/>
      <c r="Q25" s="635"/>
      <c r="R25" s="636"/>
      <c r="S25" s="201" t="str">
        <f t="shared" si="1"/>
        <v/>
      </c>
      <c r="T25" s="201" t="str">
        <f t="shared" si="2"/>
        <v/>
      </c>
      <c r="U25" s="267"/>
      <c r="V25" s="104"/>
      <c r="W25" s="277" t="str">
        <f t="shared" si="3"/>
        <v/>
      </c>
      <c r="X25" s="277" t="str">
        <f t="shared" si="4"/>
        <v/>
      </c>
      <c r="Y25" s="277" t="str">
        <f t="shared" si="5"/>
        <v/>
      </c>
      <c r="Z25" s="277" t="str">
        <f t="shared" si="6"/>
        <v/>
      </c>
      <c r="AA25" s="277" t="str">
        <f t="shared" si="7"/>
        <v/>
      </c>
      <c r="AB25" s="277" t="str">
        <f t="shared" si="8"/>
        <v/>
      </c>
      <c r="AC25" s="278">
        <f t="shared" si="9"/>
        <v>0</v>
      </c>
    </row>
    <row r="26" spans="1:29">
      <c r="A26" s="915"/>
      <c r="B26" s="915"/>
      <c r="C26" s="916"/>
      <c r="D26" s="916"/>
      <c r="E26" s="916"/>
      <c r="F26" s="916"/>
      <c r="G26" s="634"/>
      <c r="H26" s="636"/>
      <c r="I26" s="914"/>
      <c r="J26" s="914"/>
      <c r="K26" s="915"/>
      <c r="L26" s="915"/>
      <c r="M26" s="634"/>
      <c r="N26" s="635"/>
      <c r="O26" s="635"/>
      <c r="P26" s="635"/>
      <c r="Q26" s="635"/>
      <c r="R26" s="636"/>
      <c r="S26" s="201" t="str">
        <f t="shared" ref="S26:S51" si="10">IF(M26="","",IF(AC26&gt;0,"","X"))</f>
        <v/>
      </c>
      <c r="T26" s="201" t="str">
        <f t="shared" ref="T26:T51" si="11">IF(M26="","",IF(AC26&gt;0,"X",""))</f>
        <v/>
      </c>
      <c r="U26" s="267"/>
      <c r="V26" s="104"/>
      <c r="W26" s="277" t="str">
        <f t="shared" ref="W26:W51" si="12">IF(M26="","",IF(AND($G26="n/a",M26&lt;=$H26),"OK",IF(AND($H26="n/a",M26&gt;=$G26),"OK",IF(AND(M26&gt;=$G26,M26&lt;=$H26),"OK","NOT OK"))))</f>
        <v/>
      </c>
      <c r="X26" s="277" t="str">
        <f t="shared" ref="X26:X51" si="13">IF(N26="","",IF(AND($G26="n/a",N26&lt;=$H26),"OK",IF(AND($H26="n/a",N26&gt;=$G26),"OK",IF(AND(N26&gt;=$G26,N26&lt;=$H26),"OK","NOT OK"))))</f>
        <v/>
      </c>
      <c r="Y26" s="277" t="str">
        <f t="shared" ref="Y26:Y51" si="14">IF(O26="","",IF(AND($G26="n/a",O26&lt;=$H26),"OK",IF(AND($H26="n/a",O26&gt;=$G26),"OK",IF(AND(O26&gt;=$G26,O26&lt;=$H26),"OK","NOT OK"))))</f>
        <v/>
      </c>
      <c r="Z26" s="277" t="str">
        <f t="shared" ref="Z26:Z51" si="15">IF(P26="","",IF(AND($G26="n/a",P26&lt;=$H26),"OK",IF(AND($H26="n/a",P26&gt;=$G26),"OK",IF(AND(P26&gt;=$G26,P26&lt;=$H26),"OK","NOT OK"))))</f>
        <v/>
      </c>
      <c r="AA26" s="277" t="str">
        <f t="shared" ref="AA26:AA51" si="16">IF(Q26="","",IF(AND($G26="n/a",Q26&lt;=$H26),"OK",IF(AND($H26="n/a",Q26&gt;=$G26),"OK",IF(AND(Q26&gt;=$G26,Q26&lt;=$H26),"OK","NOT OK"))))</f>
        <v/>
      </c>
      <c r="AB26" s="277" t="str">
        <f t="shared" ref="AB26:AB51" si="17">IF(R26="","",IF(AND($G26="n/a",R26&lt;=$H26),"OK",IF(AND($H26="n/a",R26&gt;=$G26),"OK",IF(AND(R26&gt;=$G26,R26&lt;=$H26),"OK","NOT OK"))))</f>
        <v/>
      </c>
      <c r="AC26" s="278">
        <f t="shared" ref="AC26:AC51" si="18">COUNTIF(W26:AB26,"NOT OK")</f>
        <v>0</v>
      </c>
    </row>
    <row r="27" spans="1:29">
      <c r="A27" s="915"/>
      <c r="B27" s="915"/>
      <c r="C27" s="916"/>
      <c r="D27" s="916"/>
      <c r="E27" s="916"/>
      <c r="F27" s="916"/>
      <c r="G27" s="634"/>
      <c r="H27" s="636"/>
      <c r="I27" s="914"/>
      <c r="J27" s="914"/>
      <c r="K27" s="915"/>
      <c r="L27" s="915"/>
      <c r="M27" s="634"/>
      <c r="N27" s="635"/>
      <c r="O27" s="635"/>
      <c r="P27" s="635"/>
      <c r="Q27" s="635"/>
      <c r="R27" s="636"/>
      <c r="S27" s="201" t="str">
        <f t="shared" si="10"/>
        <v/>
      </c>
      <c r="T27" s="201" t="str">
        <f t="shared" si="11"/>
        <v/>
      </c>
      <c r="U27" s="267"/>
      <c r="V27" s="104"/>
      <c r="W27" s="277" t="str">
        <f t="shared" si="12"/>
        <v/>
      </c>
      <c r="X27" s="277" t="str">
        <f t="shared" si="13"/>
        <v/>
      </c>
      <c r="Y27" s="277" t="str">
        <f t="shared" si="14"/>
        <v/>
      </c>
      <c r="Z27" s="277" t="str">
        <f t="shared" si="15"/>
        <v/>
      </c>
      <c r="AA27" s="277" t="str">
        <f t="shared" si="16"/>
        <v/>
      </c>
      <c r="AB27" s="277" t="str">
        <f t="shared" si="17"/>
        <v/>
      </c>
      <c r="AC27" s="278">
        <f t="shared" si="18"/>
        <v>0</v>
      </c>
    </row>
    <row r="28" spans="1:29">
      <c r="A28" s="915"/>
      <c r="B28" s="915"/>
      <c r="C28" s="916"/>
      <c r="D28" s="916"/>
      <c r="E28" s="916"/>
      <c r="F28" s="916"/>
      <c r="G28" s="634"/>
      <c r="H28" s="636"/>
      <c r="I28" s="914"/>
      <c r="J28" s="914"/>
      <c r="K28" s="915"/>
      <c r="L28" s="915"/>
      <c r="M28" s="634"/>
      <c r="N28" s="635"/>
      <c r="O28" s="635"/>
      <c r="P28" s="635"/>
      <c r="Q28" s="635"/>
      <c r="R28" s="636"/>
      <c r="S28" s="201" t="str">
        <f t="shared" si="10"/>
        <v/>
      </c>
      <c r="T28" s="201" t="str">
        <f t="shared" si="11"/>
        <v/>
      </c>
      <c r="U28" s="267"/>
      <c r="V28" s="104"/>
      <c r="W28" s="277" t="str">
        <f t="shared" si="12"/>
        <v/>
      </c>
      <c r="X28" s="277" t="str">
        <f t="shared" si="13"/>
        <v/>
      </c>
      <c r="Y28" s="277" t="str">
        <f t="shared" si="14"/>
        <v/>
      </c>
      <c r="Z28" s="277" t="str">
        <f t="shared" si="15"/>
        <v/>
      </c>
      <c r="AA28" s="277" t="str">
        <f t="shared" si="16"/>
        <v/>
      </c>
      <c r="AB28" s="277" t="str">
        <f t="shared" si="17"/>
        <v/>
      </c>
      <c r="AC28" s="278">
        <f t="shared" si="18"/>
        <v>0</v>
      </c>
    </row>
    <row r="29" spans="1:29">
      <c r="A29" s="915"/>
      <c r="B29" s="915"/>
      <c r="C29" s="916"/>
      <c r="D29" s="916"/>
      <c r="E29" s="916"/>
      <c r="F29" s="916"/>
      <c r="G29" s="634"/>
      <c r="H29" s="636"/>
      <c r="I29" s="914"/>
      <c r="J29" s="914"/>
      <c r="K29" s="915"/>
      <c r="L29" s="915"/>
      <c r="M29" s="634"/>
      <c r="N29" s="635"/>
      <c r="O29" s="635"/>
      <c r="P29" s="635"/>
      <c r="Q29" s="635"/>
      <c r="R29" s="636"/>
      <c r="S29" s="201" t="str">
        <f t="shared" si="10"/>
        <v/>
      </c>
      <c r="T29" s="201" t="str">
        <f t="shared" si="11"/>
        <v/>
      </c>
      <c r="U29" s="267"/>
      <c r="V29" s="104"/>
      <c r="W29" s="277" t="str">
        <f t="shared" si="12"/>
        <v/>
      </c>
      <c r="X29" s="277" t="str">
        <f t="shared" si="13"/>
        <v/>
      </c>
      <c r="Y29" s="277" t="str">
        <f t="shared" si="14"/>
        <v/>
      </c>
      <c r="Z29" s="277" t="str">
        <f t="shared" si="15"/>
        <v/>
      </c>
      <c r="AA29" s="277" t="str">
        <f t="shared" si="16"/>
        <v/>
      </c>
      <c r="AB29" s="277" t="str">
        <f t="shared" si="17"/>
        <v/>
      </c>
      <c r="AC29" s="278">
        <f t="shared" si="18"/>
        <v>0</v>
      </c>
    </row>
    <row r="30" spans="1:29">
      <c r="A30" s="915"/>
      <c r="B30" s="915"/>
      <c r="C30" s="916"/>
      <c r="D30" s="916"/>
      <c r="E30" s="916"/>
      <c r="F30" s="916"/>
      <c r="G30" s="634"/>
      <c r="H30" s="636"/>
      <c r="I30" s="914"/>
      <c r="J30" s="914"/>
      <c r="K30" s="915"/>
      <c r="L30" s="915"/>
      <c r="M30" s="634"/>
      <c r="N30" s="635"/>
      <c r="O30" s="635"/>
      <c r="P30" s="635"/>
      <c r="Q30" s="635"/>
      <c r="R30" s="636"/>
      <c r="S30" s="201" t="str">
        <f t="shared" si="10"/>
        <v/>
      </c>
      <c r="T30" s="201" t="str">
        <f t="shared" si="11"/>
        <v/>
      </c>
      <c r="U30" s="267"/>
      <c r="V30" s="104"/>
      <c r="W30" s="277" t="str">
        <f t="shared" si="12"/>
        <v/>
      </c>
      <c r="X30" s="277" t="str">
        <f t="shared" si="13"/>
        <v/>
      </c>
      <c r="Y30" s="277" t="str">
        <f t="shared" si="14"/>
        <v/>
      </c>
      <c r="Z30" s="277" t="str">
        <f t="shared" si="15"/>
        <v/>
      </c>
      <c r="AA30" s="277" t="str">
        <f t="shared" si="16"/>
        <v/>
      </c>
      <c r="AB30" s="277" t="str">
        <f t="shared" si="17"/>
        <v/>
      </c>
      <c r="AC30" s="278">
        <f t="shared" si="18"/>
        <v>0</v>
      </c>
    </row>
    <row r="31" spans="1:29">
      <c r="A31" s="915"/>
      <c r="B31" s="915"/>
      <c r="C31" s="916"/>
      <c r="D31" s="916"/>
      <c r="E31" s="916"/>
      <c r="F31" s="916"/>
      <c r="G31" s="634"/>
      <c r="H31" s="636"/>
      <c r="I31" s="914"/>
      <c r="J31" s="914"/>
      <c r="K31" s="915"/>
      <c r="L31" s="915"/>
      <c r="M31" s="634"/>
      <c r="N31" s="635"/>
      <c r="O31" s="635"/>
      <c r="P31" s="635"/>
      <c r="Q31" s="635"/>
      <c r="R31" s="636"/>
      <c r="S31" s="201" t="str">
        <f t="shared" si="10"/>
        <v/>
      </c>
      <c r="T31" s="201" t="str">
        <f t="shared" si="11"/>
        <v/>
      </c>
      <c r="U31" s="267"/>
      <c r="V31" s="104"/>
      <c r="W31" s="277" t="str">
        <f t="shared" si="12"/>
        <v/>
      </c>
      <c r="X31" s="277" t="str">
        <f t="shared" si="13"/>
        <v/>
      </c>
      <c r="Y31" s="277" t="str">
        <f t="shared" si="14"/>
        <v/>
      </c>
      <c r="Z31" s="277" t="str">
        <f t="shared" si="15"/>
        <v/>
      </c>
      <c r="AA31" s="277" t="str">
        <f t="shared" si="16"/>
        <v/>
      </c>
      <c r="AB31" s="277" t="str">
        <f t="shared" si="17"/>
        <v/>
      </c>
      <c r="AC31" s="278">
        <f t="shared" si="18"/>
        <v>0</v>
      </c>
    </row>
    <row r="32" spans="1:29">
      <c r="A32" s="915"/>
      <c r="B32" s="915"/>
      <c r="C32" s="916"/>
      <c r="D32" s="916"/>
      <c r="E32" s="916"/>
      <c r="F32" s="916"/>
      <c r="G32" s="634"/>
      <c r="H32" s="636"/>
      <c r="I32" s="914"/>
      <c r="J32" s="914"/>
      <c r="K32" s="915"/>
      <c r="L32" s="915"/>
      <c r="M32" s="634"/>
      <c r="N32" s="635"/>
      <c r="O32" s="635"/>
      <c r="P32" s="635"/>
      <c r="Q32" s="635"/>
      <c r="R32" s="636"/>
      <c r="S32" s="201" t="str">
        <f t="shared" si="10"/>
        <v/>
      </c>
      <c r="T32" s="201" t="str">
        <f t="shared" si="11"/>
        <v/>
      </c>
      <c r="U32" s="267"/>
      <c r="V32" s="104"/>
      <c r="W32" s="277" t="str">
        <f t="shared" si="12"/>
        <v/>
      </c>
      <c r="X32" s="277" t="str">
        <f t="shared" si="13"/>
        <v/>
      </c>
      <c r="Y32" s="277" t="str">
        <f t="shared" si="14"/>
        <v/>
      </c>
      <c r="Z32" s="277" t="str">
        <f t="shared" si="15"/>
        <v/>
      </c>
      <c r="AA32" s="277" t="str">
        <f t="shared" si="16"/>
        <v/>
      </c>
      <c r="AB32" s="277" t="str">
        <f t="shared" si="17"/>
        <v/>
      </c>
      <c r="AC32" s="278">
        <f t="shared" si="18"/>
        <v>0</v>
      </c>
    </row>
    <row r="33" spans="1:29">
      <c r="A33" s="915"/>
      <c r="B33" s="915"/>
      <c r="C33" s="916"/>
      <c r="D33" s="916"/>
      <c r="E33" s="916"/>
      <c r="F33" s="916"/>
      <c r="G33" s="634"/>
      <c r="H33" s="636"/>
      <c r="I33" s="914"/>
      <c r="J33" s="914"/>
      <c r="K33" s="915"/>
      <c r="L33" s="915"/>
      <c r="M33" s="634"/>
      <c r="N33" s="635"/>
      <c r="O33" s="635"/>
      <c r="P33" s="635"/>
      <c r="Q33" s="635"/>
      <c r="R33" s="636"/>
      <c r="S33" s="201" t="str">
        <f t="shared" si="10"/>
        <v/>
      </c>
      <c r="T33" s="201" t="str">
        <f t="shared" si="11"/>
        <v/>
      </c>
      <c r="U33" s="267"/>
      <c r="V33" s="104"/>
      <c r="W33" s="277" t="str">
        <f t="shared" si="12"/>
        <v/>
      </c>
      <c r="X33" s="277" t="str">
        <f t="shared" si="13"/>
        <v/>
      </c>
      <c r="Y33" s="277" t="str">
        <f t="shared" si="14"/>
        <v/>
      </c>
      <c r="Z33" s="277" t="str">
        <f t="shared" si="15"/>
        <v/>
      </c>
      <c r="AA33" s="277" t="str">
        <f t="shared" si="16"/>
        <v/>
      </c>
      <c r="AB33" s="277" t="str">
        <f t="shared" si="17"/>
        <v/>
      </c>
      <c r="AC33" s="278">
        <f t="shared" si="18"/>
        <v>0</v>
      </c>
    </row>
    <row r="34" spans="1:29">
      <c r="A34" s="915"/>
      <c r="B34" s="915"/>
      <c r="C34" s="916"/>
      <c r="D34" s="916"/>
      <c r="E34" s="916"/>
      <c r="F34" s="916"/>
      <c r="G34" s="634"/>
      <c r="H34" s="636"/>
      <c r="I34" s="914"/>
      <c r="J34" s="914"/>
      <c r="K34" s="915"/>
      <c r="L34" s="915"/>
      <c r="M34" s="634"/>
      <c r="N34" s="635"/>
      <c r="O34" s="635"/>
      <c r="P34" s="635"/>
      <c r="Q34" s="635"/>
      <c r="R34" s="636"/>
      <c r="S34" s="201" t="str">
        <f t="shared" si="10"/>
        <v/>
      </c>
      <c r="T34" s="201" t="str">
        <f t="shared" si="11"/>
        <v/>
      </c>
      <c r="U34" s="267"/>
      <c r="V34" s="104"/>
      <c r="W34" s="277" t="str">
        <f t="shared" si="12"/>
        <v/>
      </c>
      <c r="X34" s="277" t="str">
        <f t="shared" si="13"/>
        <v/>
      </c>
      <c r="Y34" s="277" t="str">
        <f t="shared" si="14"/>
        <v/>
      </c>
      <c r="Z34" s="277" t="str">
        <f t="shared" si="15"/>
        <v/>
      </c>
      <c r="AA34" s="277" t="str">
        <f t="shared" si="16"/>
        <v/>
      </c>
      <c r="AB34" s="277" t="str">
        <f t="shared" si="17"/>
        <v/>
      </c>
      <c r="AC34" s="278">
        <f t="shared" si="18"/>
        <v>0</v>
      </c>
    </row>
    <row r="35" spans="1:29">
      <c r="A35" s="915"/>
      <c r="B35" s="915"/>
      <c r="C35" s="916"/>
      <c r="D35" s="916"/>
      <c r="E35" s="916"/>
      <c r="F35" s="916"/>
      <c r="G35" s="634"/>
      <c r="H35" s="636"/>
      <c r="I35" s="914"/>
      <c r="J35" s="914"/>
      <c r="K35" s="915"/>
      <c r="L35" s="915"/>
      <c r="M35" s="634"/>
      <c r="N35" s="635"/>
      <c r="O35" s="635"/>
      <c r="P35" s="635"/>
      <c r="Q35" s="635"/>
      <c r="R35" s="636"/>
      <c r="S35" s="201" t="str">
        <f t="shared" si="10"/>
        <v/>
      </c>
      <c r="T35" s="201" t="str">
        <f t="shared" si="11"/>
        <v/>
      </c>
      <c r="U35" s="267"/>
      <c r="V35" s="104"/>
      <c r="W35" s="277" t="str">
        <f t="shared" si="12"/>
        <v/>
      </c>
      <c r="X35" s="277" t="str">
        <f t="shared" si="13"/>
        <v/>
      </c>
      <c r="Y35" s="277" t="str">
        <f t="shared" si="14"/>
        <v/>
      </c>
      <c r="Z35" s="277" t="str">
        <f t="shared" si="15"/>
        <v/>
      </c>
      <c r="AA35" s="277" t="str">
        <f t="shared" si="16"/>
        <v/>
      </c>
      <c r="AB35" s="277" t="str">
        <f t="shared" si="17"/>
        <v/>
      </c>
      <c r="AC35" s="278">
        <f t="shared" si="18"/>
        <v>0</v>
      </c>
    </row>
    <row r="36" spans="1:29">
      <c r="A36" s="915"/>
      <c r="B36" s="915"/>
      <c r="C36" s="916"/>
      <c r="D36" s="916"/>
      <c r="E36" s="916"/>
      <c r="F36" s="916"/>
      <c r="G36" s="634"/>
      <c r="H36" s="636"/>
      <c r="I36" s="914"/>
      <c r="J36" s="914"/>
      <c r="K36" s="915"/>
      <c r="L36" s="915"/>
      <c r="M36" s="634"/>
      <c r="N36" s="635"/>
      <c r="O36" s="635"/>
      <c r="P36" s="635"/>
      <c r="Q36" s="635"/>
      <c r="R36" s="636"/>
      <c r="S36" s="201" t="str">
        <f t="shared" si="10"/>
        <v/>
      </c>
      <c r="T36" s="201" t="str">
        <f t="shared" si="11"/>
        <v/>
      </c>
      <c r="U36" s="267"/>
      <c r="V36" s="104"/>
      <c r="W36" s="277" t="str">
        <f t="shared" si="12"/>
        <v/>
      </c>
      <c r="X36" s="277" t="str">
        <f t="shared" si="13"/>
        <v/>
      </c>
      <c r="Y36" s="277" t="str">
        <f t="shared" si="14"/>
        <v/>
      </c>
      <c r="Z36" s="277" t="str">
        <f t="shared" si="15"/>
        <v/>
      </c>
      <c r="AA36" s="277" t="str">
        <f t="shared" si="16"/>
        <v/>
      </c>
      <c r="AB36" s="277" t="str">
        <f t="shared" si="17"/>
        <v/>
      </c>
      <c r="AC36" s="278">
        <f t="shared" si="18"/>
        <v>0</v>
      </c>
    </row>
    <row r="37" spans="1:29">
      <c r="A37" s="915"/>
      <c r="B37" s="915"/>
      <c r="C37" s="916"/>
      <c r="D37" s="916"/>
      <c r="E37" s="916"/>
      <c r="F37" s="916"/>
      <c r="G37" s="634"/>
      <c r="H37" s="636"/>
      <c r="I37" s="914"/>
      <c r="J37" s="914"/>
      <c r="K37" s="915"/>
      <c r="L37" s="915"/>
      <c r="M37" s="634"/>
      <c r="N37" s="635"/>
      <c r="O37" s="635"/>
      <c r="P37" s="635"/>
      <c r="Q37" s="635"/>
      <c r="R37" s="636"/>
      <c r="S37" s="201" t="str">
        <f t="shared" si="10"/>
        <v/>
      </c>
      <c r="T37" s="201" t="str">
        <f t="shared" si="11"/>
        <v/>
      </c>
      <c r="U37" s="267"/>
      <c r="V37" s="104"/>
      <c r="W37" s="277" t="str">
        <f t="shared" si="12"/>
        <v/>
      </c>
      <c r="X37" s="277" t="str">
        <f t="shared" si="13"/>
        <v/>
      </c>
      <c r="Y37" s="277" t="str">
        <f t="shared" si="14"/>
        <v/>
      </c>
      <c r="Z37" s="277" t="str">
        <f t="shared" si="15"/>
        <v/>
      </c>
      <c r="AA37" s="277" t="str">
        <f t="shared" si="16"/>
        <v/>
      </c>
      <c r="AB37" s="277" t="str">
        <f t="shared" si="17"/>
        <v/>
      </c>
      <c r="AC37" s="278">
        <f t="shared" si="18"/>
        <v>0</v>
      </c>
    </row>
    <row r="38" spans="1:29">
      <c r="A38" s="915"/>
      <c r="B38" s="915"/>
      <c r="C38" s="916"/>
      <c r="D38" s="916"/>
      <c r="E38" s="916"/>
      <c r="F38" s="916"/>
      <c r="G38" s="634"/>
      <c r="H38" s="636"/>
      <c r="I38" s="914"/>
      <c r="J38" s="914"/>
      <c r="K38" s="915"/>
      <c r="L38" s="915"/>
      <c r="M38" s="634"/>
      <c r="N38" s="635"/>
      <c r="O38" s="635"/>
      <c r="P38" s="635"/>
      <c r="Q38" s="635"/>
      <c r="R38" s="636"/>
      <c r="S38" s="201" t="str">
        <f t="shared" si="10"/>
        <v/>
      </c>
      <c r="T38" s="201" t="str">
        <f t="shared" si="11"/>
        <v/>
      </c>
      <c r="U38" s="267"/>
      <c r="V38" s="104"/>
      <c r="W38" s="277" t="str">
        <f t="shared" si="12"/>
        <v/>
      </c>
      <c r="X38" s="277" t="str">
        <f t="shared" si="13"/>
        <v/>
      </c>
      <c r="Y38" s="277" t="str">
        <f t="shared" si="14"/>
        <v/>
      </c>
      <c r="Z38" s="277" t="str">
        <f t="shared" si="15"/>
        <v/>
      </c>
      <c r="AA38" s="277" t="str">
        <f t="shared" si="16"/>
        <v/>
      </c>
      <c r="AB38" s="277" t="str">
        <f t="shared" si="17"/>
        <v/>
      </c>
      <c r="AC38" s="278">
        <f t="shared" si="18"/>
        <v>0</v>
      </c>
    </row>
    <row r="39" spans="1:29">
      <c r="A39" s="915"/>
      <c r="B39" s="915"/>
      <c r="C39" s="916"/>
      <c r="D39" s="916"/>
      <c r="E39" s="916"/>
      <c r="F39" s="916"/>
      <c r="G39" s="634"/>
      <c r="H39" s="636"/>
      <c r="I39" s="914"/>
      <c r="J39" s="914"/>
      <c r="K39" s="915"/>
      <c r="L39" s="915"/>
      <c r="M39" s="634"/>
      <c r="N39" s="635"/>
      <c r="O39" s="635"/>
      <c r="P39" s="635"/>
      <c r="Q39" s="635"/>
      <c r="R39" s="636"/>
      <c r="S39" s="201" t="str">
        <f t="shared" si="10"/>
        <v/>
      </c>
      <c r="T39" s="201" t="str">
        <f t="shared" si="11"/>
        <v/>
      </c>
      <c r="U39" s="267"/>
      <c r="V39" s="104"/>
      <c r="W39" s="277" t="str">
        <f t="shared" si="12"/>
        <v/>
      </c>
      <c r="X39" s="277" t="str">
        <f t="shared" si="13"/>
        <v/>
      </c>
      <c r="Y39" s="277" t="str">
        <f t="shared" si="14"/>
        <v/>
      </c>
      <c r="Z39" s="277" t="str">
        <f t="shared" si="15"/>
        <v/>
      </c>
      <c r="AA39" s="277" t="str">
        <f t="shared" si="16"/>
        <v/>
      </c>
      <c r="AB39" s="277" t="str">
        <f t="shared" si="17"/>
        <v/>
      </c>
      <c r="AC39" s="278">
        <f t="shared" si="18"/>
        <v>0</v>
      </c>
    </row>
    <row r="40" spans="1:29">
      <c r="A40" s="915"/>
      <c r="B40" s="915"/>
      <c r="C40" s="916"/>
      <c r="D40" s="916"/>
      <c r="E40" s="916"/>
      <c r="F40" s="916"/>
      <c r="G40" s="634"/>
      <c r="H40" s="636"/>
      <c r="I40" s="914"/>
      <c r="J40" s="914"/>
      <c r="K40" s="915"/>
      <c r="L40" s="915"/>
      <c r="M40" s="634"/>
      <c r="N40" s="635"/>
      <c r="O40" s="635"/>
      <c r="P40" s="635"/>
      <c r="Q40" s="635"/>
      <c r="R40" s="636"/>
      <c r="S40" s="201" t="str">
        <f t="shared" si="10"/>
        <v/>
      </c>
      <c r="T40" s="201" t="str">
        <f t="shared" si="11"/>
        <v/>
      </c>
      <c r="U40" s="267"/>
      <c r="V40" s="104"/>
      <c r="W40" s="277" t="str">
        <f t="shared" si="12"/>
        <v/>
      </c>
      <c r="X40" s="277" t="str">
        <f t="shared" si="13"/>
        <v/>
      </c>
      <c r="Y40" s="277" t="str">
        <f t="shared" si="14"/>
        <v/>
      </c>
      <c r="Z40" s="277" t="str">
        <f t="shared" si="15"/>
        <v/>
      </c>
      <c r="AA40" s="277" t="str">
        <f t="shared" si="16"/>
        <v/>
      </c>
      <c r="AB40" s="277" t="str">
        <f t="shared" si="17"/>
        <v/>
      </c>
      <c r="AC40" s="278">
        <f t="shared" si="18"/>
        <v>0</v>
      </c>
    </row>
    <row r="41" spans="1:29">
      <c r="A41" s="915"/>
      <c r="B41" s="915"/>
      <c r="C41" s="916"/>
      <c r="D41" s="916"/>
      <c r="E41" s="916"/>
      <c r="F41" s="916"/>
      <c r="G41" s="634"/>
      <c r="H41" s="636"/>
      <c r="I41" s="914"/>
      <c r="J41" s="914"/>
      <c r="K41" s="915"/>
      <c r="L41" s="915"/>
      <c r="M41" s="634"/>
      <c r="N41" s="635"/>
      <c r="O41" s="635"/>
      <c r="P41" s="635"/>
      <c r="Q41" s="635"/>
      <c r="R41" s="636"/>
      <c r="S41" s="201" t="str">
        <f t="shared" si="10"/>
        <v/>
      </c>
      <c r="T41" s="201" t="str">
        <f t="shared" si="11"/>
        <v/>
      </c>
      <c r="U41" s="267"/>
      <c r="V41" s="104"/>
      <c r="W41" s="277" t="str">
        <f t="shared" si="12"/>
        <v/>
      </c>
      <c r="X41" s="277" t="str">
        <f t="shared" si="13"/>
        <v/>
      </c>
      <c r="Y41" s="277" t="str">
        <f t="shared" si="14"/>
        <v/>
      </c>
      <c r="Z41" s="277" t="str">
        <f t="shared" si="15"/>
        <v/>
      </c>
      <c r="AA41" s="277" t="str">
        <f t="shared" si="16"/>
        <v/>
      </c>
      <c r="AB41" s="277" t="str">
        <f t="shared" si="17"/>
        <v/>
      </c>
      <c r="AC41" s="278">
        <f t="shared" si="18"/>
        <v>0</v>
      </c>
    </row>
    <row r="42" spans="1:29">
      <c r="A42" s="915"/>
      <c r="B42" s="915"/>
      <c r="C42" s="916"/>
      <c r="D42" s="916"/>
      <c r="E42" s="916"/>
      <c r="F42" s="916"/>
      <c r="G42" s="634"/>
      <c r="H42" s="636"/>
      <c r="I42" s="914"/>
      <c r="J42" s="914"/>
      <c r="K42" s="915"/>
      <c r="L42" s="915"/>
      <c r="M42" s="634"/>
      <c r="N42" s="635"/>
      <c r="O42" s="635"/>
      <c r="P42" s="635"/>
      <c r="Q42" s="635"/>
      <c r="R42" s="636"/>
      <c r="S42" s="201" t="str">
        <f t="shared" si="10"/>
        <v/>
      </c>
      <c r="T42" s="201" t="str">
        <f t="shared" si="11"/>
        <v/>
      </c>
      <c r="U42" s="267"/>
      <c r="V42" s="104"/>
      <c r="W42" s="277" t="str">
        <f t="shared" si="12"/>
        <v/>
      </c>
      <c r="X42" s="277" t="str">
        <f t="shared" si="13"/>
        <v/>
      </c>
      <c r="Y42" s="277" t="str">
        <f t="shared" si="14"/>
        <v/>
      </c>
      <c r="Z42" s="277" t="str">
        <f t="shared" si="15"/>
        <v/>
      </c>
      <c r="AA42" s="277" t="str">
        <f t="shared" si="16"/>
        <v/>
      </c>
      <c r="AB42" s="277" t="str">
        <f t="shared" si="17"/>
        <v/>
      </c>
      <c r="AC42" s="278">
        <f t="shared" si="18"/>
        <v>0</v>
      </c>
    </row>
    <row r="43" spans="1:29">
      <c r="A43" s="915"/>
      <c r="B43" s="915"/>
      <c r="C43" s="916"/>
      <c r="D43" s="916"/>
      <c r="E43" s="916"/>
      <c r="F43" s="916"/>
      <c r="G43" s="634"/>
      <c r="H43" s="636"/>
      <c r="I43" s="914"/>
      <c r="J43" s="914"/>
      <c r="K43" s="915"/>
      <c r="L43" s="915"/>
      <c r="M43" s="634"/>
      <c r="N43" s="635"/>
      <c r="O43" s="635"/>
      <c r="P43" s="635"/>
      <c r="Q43" s="635"/>
      <c r="R43" s="636"/>
      <c r="S43" s="201" t="str">
        <f t="shared" si="10"/>
        <v/>
      </c>
      <c r="T43" s="201" t="str">
        <f t="shared" si="11"/>
        <v/>
      </c>
      <c r="U43" s="267"/>
      <c r="V43" s="104"/>
      <c r="W43" s="277" t="str">
        <f t="shared" si="12"/>
        <v/>
      </c>
      <c r="X43" s="277" t="str">
        <f t="shared" si="13"/>
        <v/>
      </c>
      <c r="Y43" s="277" t="str">
        <f t="shared" si="14"/>
        <v/>
      </c>
      <c r="Z43" s="277" t="str">
        <f t="shared" si="15"/>
        <v/>
      </c>
      <c r="AA43" s="277" t="str">
        <f t="shared" si="16"/>
        <v/>
      </c>
      <c r="AB43" s="277" t="str">
        <f t="shared" si="17"/>
        <v/>
      </c>
      <c r="AC43" s="278">
        <f t="shared" si="18"/>
        <v>0</v>
      </c>
    </row>
    <row r="44" spans="1:29">
      <c r="A44" s="915"/>
      <c r="B44" s="915"/>
      <c r="C44" s="916"/>
      <c r="D44" s="916"/>
      <c r="E44" s="916"/>
      <c r="F44" s="916"/>
      <c r="G44" s="634"/>
      <c r="H44" s="636"/>
      <c r="I44" s="914"/>
      <c r="J44" s="914"/>
      <c r="K44" s="915"/>
      <c r="L44" s="915"/>
      <c r="M44" s="634"/>
      <c r="N44" s="635"/>
      <c r="O44" s="635"/>
      <c r="P44" s="635"/>
      <c r="Q44" s="635"/>
      <c r="R44" s="636"/>
      <c r="S44" s="201" t="str">
        <f t="shared" si="10"/>
        <v/>
      </c>
      <c r="T44" s="201" t="str">
        <f t="shared" si="11"/>
        <v/>
      </c>
      <c r="U44" s="267"/>
      <c r="V44" s="104"/>
      <c r="W44" s="277" t="str">
        <f t="shared" si="12"/>
        <v/>
      </c>
      <c r="X44" s="277" t="str">
        <f t="shared" si="13"/>
        <v/>
      </c>
      <c r="Y44" s="277" t="str">
        <f t="shared" si="14"/>
        <v/>
      </c>
      <c r="Z44" s="277" t="str">
        <f t="shared" si="15"/>
        <v/>
      </c>
      <c r="AA44" s="277" t="str">
        <f t="shared" si="16"/>
        <v/>
      </c>
      <c r="AB44" s="277" t="str">
        <f t="shared" si="17"/>
        <v/>
      </c>
      <c r="AC44" s="278">
        <f t="shared" si="18"/>
        <v>0</v>
      </c>
    </row>
    <row r="45" spans="1:29">
      <c r="A45" s="915"/>
      <c r="B45" s="915"/>
      <c r="C45" s="916"/>
      <c r="D45" s="916"/>
      <c r="E45" s="916"/>
      <c r="F45" s="916"/>
      <c r="G45" s="634"/>
      <c r="H45" s="636"/>
      <c r="I45" s="914"/>
      <c r="J45" s="914"/>
      <c r="K45" s="915"/>
      <c r="L45" s="915"/>
      <c r="M45" s="634"/>
      <c r="N45" s="635"/>
      <c r="O45" s="635"/>
      <c r="P45" s="635"/>
      <c r="Q45" s="635"/>
      <c r="R45" s="636"/>
      <c r="S45" s="201" t="str">
        <f t="shared" si="10"/>
        <v/>
      </c>
      <c r="T45" s="201" t="str">
        <f t="shared" si="11"/>
        <v/>
      </c>
      <c r="U45" s="267"/>
      <c r="V45" s="104"/>
      <c r="W45" s="277" t="str">
        <f t="shared" si="12"/>
        <v/>
      </c>
      <c r="X45" s="277" t="str">
        <f t="shared" si="13"/>
        <v/>
      </c>
      <c r="Y45" s="277" t="str">
        <f t="shared" si="14"/>
        <v/>
      </c>
      <c r="Z45" s="277" t="str">
        <f t="shared" si="15"/>
        <v/>
      </c>
      <c r="AA45" s="277" t="str">
        <f t="shared" si="16"/>
        <v/>
      </c>
      <c r="AB45" s="277" t="str">
        <f t="shared" si="17"/>
        <v/>
      </c>
      <c r="AC45" s="278">
        <f t="shared" si="18"/>
        <v>0</v>
      </c>
    </row>
    <row r="46" spans="1:29">
      <c r="A46" s="915"/>
      <c r="B46" s="915"/>
      <c r="C46" s="916"/>
      <c r="D46" s="916"/>
      <c r="E46" s="916"/>
      <c r="F46" s="916"/>
      <c r="G46" s="634"/>
      <c r="H46" s="636"/>
      <c r="I46" s="914"/>
      <c r="J46" s="914"/>
      <c r="K46" s="915"/>
      <c r="L46" s="915"/>
      <c r="M46" s="634"/>
      <c r="N46" s="635"/>
      <c r="O46" s="635"/>
      <c r="P46" s="635"/>
      <c r="Q46" s="635"/>
      <c r="R46" s="636"/>
      <c r="S46" s="201" t="str">
        <f t="shared" si="10"/>
        <v/>
      </c>
      <c r="T46" s="201" t="str">
        <f t="shared" si="11"/>
        <v/>
      </c>
      <c r="U46" s="267"/>
      <c r="V46" s="104"/>
      <c r="W46" s="277" t="str">
        <f t="shared" si="12"/>
        <v/>
      </c>
      <c r="X46" s="277" t="str">
        <f t="shared" si="13"/>
        <v/>
      </c>
      <c r="Y46" s="277" t="str">
        <f t="shared" si="14"/>
        <v/>
      </c>
      <c r="Z46" s="277" t="str">
        <f t="shared" si="15"/>
        <v/>
      </c>
      <c r="AA46" s="277" t="str">
        <f t="shared" si="16"/>
        <v/>
      </c>
      <c r="AB46" s="277" t="str">
        <f t="shared" si="17"/>
        <v/>
      </c>
      <c r="AC46" s="278">
        <f t="shared" si="18"/>
        <v>0</v>
      </c>
    </row>
    <row r="47" spans="1:29">
      <c r="A47" s="915"/>
      <c r="B47" s="915"/>
      <c r="C47" s="916"/>
      <c r="D47" s="916"/>
      <c r="E47" s="916"/>
      <c r="F47" s="916"/>
      <c r="G47" s="634"/>
      <c r="H47" s="636"/>
      <c r="I47" s="914"/>
      <c r="J47" s="914"/>
      <c r="K47" s="915"/>
      <c r="L47" s="915"/>
      <c r="M47" s="634"/>
      <c r="N47" s="635"/>
      <c r="O47" s="635"/>
      <c r="P47" s="635"/>
      <c r="Q47" s="635"/>
      <c r="R47" s="636"/>
      <c r="S47" s="201" t="str">
        <f t="shared" si="10"/>
        <v/>
      </c>
      <c r="T47" s="201" t="str">
        <f t="shared" si="11"/>
        <v/>
      </c>
      <c r="U47" s="267"/>
      <c r="V47" s="104"/>
      <c r="W47" s="277" t="str">
        <f t="shared" si="12"/>
        <v/>
      </c>
      <c r="X47" s="277" t="str">
        <f t="shared" si="13"/>
        <v/>
      </c>
      <c r="Y47" s="277" t="str">
        <f t="shared" si="14"/>
        <v/>
      </c>
      <c r="Z47" s="277" t="str">
        <f t="shared" si="15"/>
        <v/>
      </c>
      <c r="AA47" s="277" t="str">
        <f t="shared" si="16"/>
        <v/>
      </c>
      <c r="AB47" s="277" t="str">
        <f t="shared" si="17"/>
        <v/>
      </c>
      <c r="AC47" s="278">
        <f t="shared" si="18"/>
        <v>0</v>
      </c>
    </row>
    <row r="48" spans="1:29">
      <c r="A48" s="915"/>
      <c r="B48" s="915"/>
      <c r="C48" s="916"/>
      <c r="D48" s="916"/>
      <c r="E48" s="916"/>
      <c r="F48" s="916"/>
      <c r="G48" s="634"/>
      <c r="H48" s="636"/>
      <c r="I48" s="914"/>
      <c r="J48" s="914"/>
      <c r="K48" s="915"/>
      <c r="L48" s="915"/>
      <c r="M48" s="634"/>
      <c r="N48" s="635"/>
      <c r="O48" s="635"/>
      <c r="P48" s="635"/>
      <c r="Q48" s="635"/>
      <c r="R48" s="636"/>
      <c r="S48" s="201" t="str">
        <f t="shared" si="10"/>
        <v/>
      </c>
      <c r="T48" s="201" t="str">
        <f t="shared" si="11"/>
        <v/>
      </c>
      <c r="U48" s="267"/>
      <c r="V48" s="104"/>
      <c r="W48" s="277" t="str">
        <f t="shared" si="12"/>
        <v/>
      </c>
      <c r="X48" s="277" t="str">
        <f t="shared" si="13"/>
        <v/>
      </c>
      <c r="Y48" s="277" t="str">
        <f t="shared" si="14"/>
        <v/>
      </c>
      <c r="Z48" s="277" t="str">
        <f t="shared" si="15"/>
        <v/>
      </c>
      <c r="AA48" s="277" t="str">
        <f t="shared" si="16"/>
        <v/>
      </c>
      <c r="AB48" s="277" t="str">
        <f t="shared" si="17"/>
        <v/>
      </c>
      <c r="AC48" s="278">
        <f t="shared" si="18"/>
        <v>0</v>
      </c>
    </row>
    <row r="49" spans="1:29">
      <c r="A49" s="915"/>
      <c r="B49" s="915"/>
      <c r="C49" s="916"/>
      <c r="D49" s="916"/>
      <c r="E49" s="916"/>
      <c r="F49" s="916"/>
      <c r="G49" s="634"/>
      <c r="H49" s="636"/>
      <c r="I49" s="914"/>
      <c r="J49" s="914"/>
      <c r="K49" s="915"/>
      <c r="L49" s="915"/>
      <c r="M49" s="634"/>
      <c r="N49" s="635"/>
      <c r="O49" s="635"/>
      <c r="P49" s="635"/>
      <c r="Q49" s="635"/>
      <c r="R49" s="636"/>
      <c r="S49" s="201" t="str">
        <f t="shared" si="10"/>
        <v/>
      </c>
      <c r="T49" s="201" t="str">
        <f t="shared" si="11"/>
        <v/>
      </c>
      <c r="U49" s="267"/>
      <c r="V49" s="104"/>
      <c r="W49" s="277" t="str">
        <f t="shared" si="12"/>
        <v/>
      </c>
      <c r="X49" s="277" t="str">
        <f t="shared" si="13"/>
        <v/>
      </c>
      <c r="Y49" s="277" t="str">
        <f t="shared" si="14"/>
        <v/>
      </c>
      <c r="Z49" s="277" t="str">
        <f t="shared" si="15"/>
        <v/>
      </c>
      <c r="AA49" s="277" t="str">
        <f t="shared" si="16"/>
        <v/>
      </c>
      <c r="AB49" s="277" t="str">
        <f t="shared" si="17"/>
        <v/>
      </c>
      <c r="AC49" s="278">
        <f t="shared" si="18"/>
        <v>0</v>
      </c>
    </row>
    <row r="50" spans="1:29">
      <c r="A50" s="915"/>
      <c r="B50" s="915"/>
      <c r="C50" s="916"/>
      <c r="D50" s="916"/>
      <c r="E50" s="916"/>
      <c r="F50" s="916"/>
      <c r="G50" s="634"/>
      <c r="H50" s="636"/>
      <c r="I50" s="914"/>
      <c r="J50" s="914"/>
      <c r="K50" s="915"/>
      <c r="L50" s="915"/>
      <c r="M50" s="634"/>
      <c r="N50" s="635"/>
      <c r="O50" s="635"/>
      <c r="P50" s="635"/>
      <c r="Q50" s="635"/>
      <c r="R50" s="636"/>
      <c r="S50" s="201" t="str">
        <f t="shared" si="10"/>
        <v/>
      </c>
      <c r="T50" s="201" t="str">
        <f t="shared" si="11"/>
        <v/>
      </c>
      <c r="U50" s="267"/>
      <c r="V50" s="104"/>
      <c r="W50" s="277" t="str">
        <f t="shared" si="12"/>
        <v/>
      </c>
      <c r="X50" s="277" t="str">
        <f t="shared" si="13"/>
        <v/>
      </c>
      <c r="Y50" s="277" t="str">
        <f t="shared" si="14"/>
        <v/>
      </c>
      <c r="Z50" s="277" t="str">
        <f t="shared" si="15"/>
        <v/>
      </c>
      <c r="AA50" s="277" t="str">
        <f t="shared" si="16"/>
        <v/>
      </c>
      <c r="AB50" s="277" t="str">
        <f t="shared" si="17"/>
        <v/>
      </c>
      <c r="AC50" s="278">
        <f t="shared" si="18"/>
        <v>0</v>
      </c>
    </row>
    <row r="51" spans="1:29">
      <c r="A51" s="915"/>
      <c r="B51" s="915"/>
      <c r="C51" s="916"/>
      <c r="D51" s="916"/>
      <c r="E51" s="916"/>
      <c r="F51" s="916"/>
      <c r="G51" s="634"/>
      <c r="H51" s="636"/>
      <c r="I51" s="914"/>
      <c r="J51" s="914"/>
      <c r="K51" s="915"/>
      <c r="L51" s="915"/>
      <c r="M51" s="634"/>
      <c r="N51" s="635"/>
      <c r="O51" s="635"/>
      <c r="P51" s="635"/>
      <c r="Q51" s="635"/>
      <c r="R51" s="636"/>
      <c r="S51" s="201" t="str">
        <f t="shared" si="10"/>
        <v/>
      </c>
      <c r="T51" s="201" t="str">
        <f t="shared" si="11"/>
        <v/>
      </c>
      <c r="U51" s="267"/>
      <c r="V51" s="104"/>
      <c r="W51" s="277" t="str">
        <f t="shared" si="12"/>
        <v/>
      </c>
      <c r="X51" s="277" t="str">
        <f t="shared" si="13"/>
        <v/>
      </c>
      <c r="Y51" s="277" t="str">
        <f t="shared" si="14"/>
        <v/>
      </c>
      <c r="Z51" s="277" t="str">
        <f t="shared" si="15"/>
        <v/>
      </c>
      <c r="AA51" s="277" t="str">
        <f t="shared" si="16"/>
        <v/>
      </c>
      <c r="AB51" s="277" t="str">
        <f t="shared" si="17"/>
        <v/>
      </c>
      <c r="AC51" s="278">
        <f t="shared" si="18"/>
        <v>0</v>
      </c>
    </row>
    <row r="52" spans="1:29" ht="7.5" customHeight="1">
      <c r="W52" s="277"/>
      <c r="X52" s="277"/>
      <c r="Y52" s="277"/>
      <c r="Z52" s="277"/>
      <c r="AA52" s="277"/>
      <c r="AB52" s="277"/>
      <c r="AC52" s="277"/>
    </row>
    <row r="53" spans="1:29">
      <c r="I53" s="918" t="s">
        <v>371</v>
      </c>
      <c r="J53" s="919"/>
      <c r="K53" s="919"/>
      <c r="L53" s="919"/>
      <c r="M53" s="919"/>
      <c r="N53" s="919"/>
      <c r="O53" s="919"/>
      <c r="P53" s="919"/>
      <c r="Q53" s="919"/>
      <c r="R53" s="919"/>
      <c r="S53" s="919"/>
      <c r="T53" s="920"/>
      <c r="W53" s="277"/>
      <c r="X53" s="277"/>
      <c r="Y53" s="277"/>
      <c r="Z53" s="277"/>
      <c r="AA53" s="277"/>
      <c r="AB53" s="277"/>
      <c r="AC53" s="277"/>
    </row>
    <row r="54" spans="1:29" ht="6" customHeight="1"/>
    <row r="55" spans="1:29">
      <c r="I55" s="284"/>
      <c r="J55" s="917" t="s">
        <v>562</v>
      </c>
      <c r="K55" s="917"/>
      <c r="L55" s="917"/>
      <c r="M55" s="189"/>
      <c r="N55" s="189"/>
      <c r="O55" s="189"/>
      <c r="P55" s="190" t="s">
        <v>24</v>
      </c>
      <c r="Q55" s="189"/>
      <c r="R55" s="189"/>
      <c r="S55" s="190" t="s">
        <v>563</v>
      </c>
      <c r="T55" s="7"/>
    </row>
    <row r="56" spans="1:29">
      <c r="I56" s="285"/>
      <c r="J56" s="282"/>
      <c r="K56" s="103"/>
      <c r="L56" s="103"/>
      <c r="M56" s="103"/>
      <c r="N56" s="103"/>
      <c r="O56" s="103"/>
      <c r="P56" s="103"/>
      <c r="Q56" s="103"/>
      <c r="R56" s="103"/>
      <c r="S56" s="103"/>
      <c r="T56" s="105"/>
    </row>
  </sheetData>
  <sheetProtection selectLockedCells="1"/>
  <mergeCells count="187">
    <mergeCell ref="J55:L55"/>
    <mergeCell ref="I53:T53"/>
    <mergeCell ref="K51:L51"/>
    <mergeCell ref="K50:L50"/>
    <mergeCell ref="I50:J50"/>
    <mergeCell ref="A51:B51"/>
    <mergeCell ref="C51:F51"/>
    <mergeCell ref="I51:J51"/>
    <mergeCell ref="A48:B48"/>
    <mergeCell ref="C48:F48"/>
    <mergeCell ref="I48:J48"/>
    <mergeCell ref="A49:B49"/>
    <mergeCell ref="C49:F49"/>
    <mergeCell ref="A50:B50"/>
    <mergeCell ref="C50:F50"/>
    <mergeCell ref="A47:B47"/>
    <mergeCell ref="C47:F47"/>
    <mergeCell ref="I47:J47"/>
    <mergeCell ref="A46:B46"/>
    <mergeCell ref="C46:F46"/>
    <mergeCell ref="I46:J46"/>
    <mergeCell ref="I49:J49"/>
    <mergeCell ref="K46:L46"/>
    <mergeCell ref="K47:L47"/>
    <mergeCell ref="K49:L49"/>
    <mergeCell ref="K48:L48"/>
    <mergeCell ref="K44:L44"/>
    <mergeCell ref="A43:B43"/>
    <mergeCell ref="C43:F43"/>
    <mergeCell ref="I43:J43"/>
    <mergeCell ref="A42:B42"/>
    <mergeCell ref="C42:F42"/>
    <mergeCell ref="I42:J42"/>
    <mergeCell ref="K45:L45"/>
    <mergeCell ref="A44:B44"/>
    <mergeCell ref="C44:F44"/>
    <mergeCell ref="A45:B45"/>
    <mergeCell ref="C45:F45"/>
    <mergeCell ref="I45:J45"/>
    <mergeCell ref="I44:J44"/>
    <mergeCell ref="K41:L41"/>
    <mergeCell ref="A40:B40"/>
    <mergeCell ref="C40:F40"/>
    <mergeCell ref="A41:B41"/>
    <mergeCell ref="C41:F41"/>
    <mergeCell ref="I41:J41"/>
    <mergeCell ref="I40:J40"/>
    <mergeCell ref="K42:L42"/>
    <mergeCell ref="K43:L43"/>
    <mergeCell ref="K38:L38"/>
    <mergeCell ref="K39:L39"/>
    <mergeCell ref="K40:L40"/>
    <mergeCell ref="A39:B39"/>
    <mergeCell ref="C39:F39"/>
    <mergeCell ref="I39:J39"/>
    <mergeCell ref="A38:B38"/>
    <mergeCell ref="C38:F38"/>
    <mergeCell ref="I38:J38"/>
    <mergeCell ref="K36:L36"/>
    <mergeCell ref="A35:B35"/>
    <mergeCell ref="C35:F35"/>
    <mergeCell ref="I35:J35"/>
    <mergeCell ref="A34:B34"/>
    <mergeCell ref="C34:F34"/>
    <mergeCell ref="I34:J34"/>
    <mergeCell ref="K37:L37"/>
    <mergeCell ref="A36:B36"/>
    <mergeCell ref="C36:F36"/>
    <mergeCell ref="A37:B37"/>
    <mergeCell ref="C37:F37"/>
    <mergeCell ref="I37:J37"/>
    <mergeCell ref="I36:J36"/>
    <mergeCell ref="K33:L33"/>
    <mergeCell ref="A32:B32"/>
    <mergeCell ref="C32:F32"/>
    <mergeCell ref="A33:B33"/>
    <mergeCell ref="C33:F33"/>
    <mergeCell ref="I33:J33"/>
    <mergeCell ref="I32:J32"/>
    <mergeCell ref="K34:L34"/>
    <mergeCell ref="K35:L35"/>
    <mergeCell ref="K30:L30"/>
    <mergeCell ref="K31:L31"/>
    <mergeCell ref="K32:L32"/>
    <mergeCell ref="A31:B31"/>
    <mergeCell ref="C31:F31"/>
    <mergeCell ref="I31:J31"/>
    <mergeCell ref="A30:B30"/>
    <mergeCell ref="C30:F30"/>
    <mergeCell ref="I30:J30"/>
    <mergeCell ref="K29:L29"/>
    <mergeCell ref="N4:T4"/>
    <mergeCell ref="N5:T5"/>
    <mergeCell ref="K27:L27"/>
    <mergeCell ref="K28:L28"/>
    <mergeCell ref="K25:L25"/>
    <mergeCell ref="K26:L26"/>
    <mergeCell ref="K20:L20"/>
    <mergeCell ref="K16:L16"/>
    <mergeCell ref="K11:L11"/>
    <mergeCell ref="K17:L17"/>
    <mergeCell ref="K18:L18"/>
    <mergeCell ref="K19:L19"/>
    <mergeCell ref="K12:L12"/>
    <mergeCell ref="K21:L21"/>
    <mergeCell ref="K13:L13"/>
    <mergeCell ref="K14:L14"/>
    <mergeCell ref="K15:L15"/>
    <mergeCell ref="A27:B27"/>
    <mergeCell ref="C27:F27"/>
    <mergeCell ref="I27:J27"/>
    <mergeCell ref="A26:B26"/>
    <mergeCell ref="C26:F26"/>
    <mergeCell ref="I26:J26"/>
    <mergeCell ref="A29:B29"/>
    <mergeCell ref="C29:F29"/>
    <mergeCell ref="I29:J29"/>
    <mergeCell ref="A28:B28"/>
    <mergeCell ref="C28:F28"/>
    <mergeCell ref="I28:J28"/>
    <mergeCell ref="A25:B25"/>
    <mergeCell ref="C25:F25"/>
    <mergeCell ref="I25:J25"/>
    <mergeCell ref="K23:L23"/>
    <mergeCell ref="A24:B24"/>
    <mergeCell ref="C24:F24"/>
    <mergeCell ref="I24:J24"/>
    <mergeCell ref="K24:L24"/>
    <mergeCell ref="A23:B23"/>
    <mergeCell ref="C23:F23"/>
    <mergeCell ref="I23:J23"/>
    <mergeCell ref="I21:J21"/>
    <mergeCell ref="A22:B22"/>
    <mergeCell ref="C22:F22"/>
    <mergeCell ref="I22:J22"/>
    <mergeCell ref="K22:L22"/>
    <mergeCell ref="A21:B21"/>
    <mergeCell ref="C21:F21"/>
    <mergeCell ref="I20:J20"/>
    <mergeCell ref="I19:J19"/>
    <mergeCell ref="A14:B14"/>
    <mergeCell ref="C14:F14"/>
    <mergeCell ref="I14:J14"/>
    <mergeCell ref="A19:B19"/>
    <mergeCell ref="C19:F19"/>
    <mergeCell ref="A20:B20"/>
    <mergeCell ref="C20:F20"/>
    <mergeCell ref="A18:B18"/>
    <mergeCell ref="C18:F18"/>
    <mergeCell ref="I18:J18"/>
    <mergeCell ref="I15:J15"/>
    <mergeCell ref="A15:B15"/>
    <mergeCell ref="C15:F15"/>
    <mergeCell ref="A17:B17"/>
    <mergeCell ref="C17:F17"/>
    <mergeCell ref="I17:J17"/>
    <mergeCell ref="I16:J16"/>
    <mergeCell ref="A16:B16"/>
    <mergeCell ref="C16:F16"/>
    <mergeCell ref="I12:J12"/>
    <mergeCell ref="I11:J11"/>
    <mergeCell ref="A11:B11"/>
    <mergeCell ref="C11:F11"/>
    <mergeCell ref="A12:B12"/>
    <mergeCell ref="C12:F12"/>
    <mergeCell ref="A13:B13"/>
    <mergeCell ref="C13:F13"/>
    <mergeCell ref="I13:J13"/>
    <mergeCell ref="H2:U2"/>
    <mergeCell ref="A4:C4"/>
    <mergeCell ref="D5:F5"/>
    <mergeCell ref="A5:C5"/>
    <mergeCell ref="E6:J6"/>
    <mergeCell ref="A6:D6"/>
    <mergeCell ref="K6:P6"/>
    <mergeCell ref="U9:U10"/>
    <mergeCell ref="D4:J4"/>
    <mergeCell ref="S9:S10"/>
    <mergeCell ref="T9:T10"/>
    <mergeCell ref="K9:L10"/>
    <mergeCell ref="M9:R10"/>
    <mergeCell ref="Q6:T6"/>
    <mergeCell ref="Q7:T7"/>
    <mergeCell ref="A9:B10"/>
    <mergeCell ref="C9:F10"/>
    <mergeCell ref="G9:H10"/>
    <mergeCell ref="I9:J10"/>
  </mergeCells>
  <phoneticPr fontId="27" type="noConversion"/>
  <pageMargins left="0.25" right="0.25" top="0.95625000000000004" bottom="0.75" header="0.3" footer="0.3"/>
  <pageSetup scale="92" fitToHeight="0" orientation="portrait" horizontalDpi="300" verticalDpi="1200" r:id="rId1"/>
  <headerFooter>
    <oddHeader>&amp;L&amp;G&amp;C&amp;"Arial,Bold"&amp;14PRODUCTION PART APPROVAL</oddHeader>
    <oddFooter>&amp;C&amp;F</oddFooter>
  </headerFooter>
  <ignoredErrors>
    <ignoredError sqref="S11:T51" unlockedFormula="1"/>
  </ignoredErrors>
  <legacyDrawing r:id="rId2"/>
  <legacyDrawingHF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dimension ref="A1:IP53"/>
  <sheetViews>
    <sheetView showGridLines="0" showRowColHeaders="0" view="pageLayout" zoomScaleNormal="100" workbookViewId="0">
      <selection activeCell="Q1" sqref="Q1"/>
    </sheetView>
  </sheetViews>
  <sheetFormatPr defaultRowHeight="12.75"/>
  <cols>
    <col min="1" max="5" width="5" customWidth="1"/>
    <col min="6" max="7" width="5.85546875" customWidth="1"/>
    <col min="8" max="9" width="4.85546875" customWidth="1"/>
    <col min="10" max="10" width="6.5703125" customWidth="1"/>
    <col min="11" max="16" width="5.5703125" customWidth="1"/>
    <col min="17" max="18" width="5" customWidth="1"/>
    <col min="19" max="19" width="0.5703125" customWidth="1"/>
    <col min="20" max="250" width="9.140625" hidden="1" customWidth="1"/>
  </cols>
  <sheetData>
    <row r="1" spans="1:26" ht="37.9" customHeight="1">
      <c r="H1" s="14"/>
    </row>
    <row r="2" spans="1:26" ht="18">
      <c r="A2" s="203"/>
      <c r="B2" s="203"/>
      <c r="C2" s="203"/>
      <c r="H2" s="577" t="s">
        <v>25</v>
      </c>
    </row>
    <row r="3" spans="1:26" ht="6" customHeight="1">
      <c r="A3" s="204"/>
      <c r="B3" s="204"/>
      <c r="C3" s="204"/>
      <c r="L3" s="1"/>
    </row>
    <row r="4" spans="1:26">
      <c r="A4" s="886" t="s">
        <v>823</v>
      </c>
      <c r="B4" s="937"/>
      <c r="C4" s="937"/>
      <c r="D4" s="921">
        <f>'Header Info'!C11</f>
        <v>0</v>
      </c>
      <c r="E4" s="921"/>
      <c r="F4" s="921"/>
      <c r="G4" s="921"/>
      <c r="H4" s="921"/>
      <c r="I4" s="922"/>
      <c r="J4" s="925" t="s">
        <v>565</v>
      </c>
      <c r="K4" s="926"/>
      <c r="L4" s="927"/>
      <c r="M4" s="921">
        <f>'Header Info'!C7</f>
        <v>0</v>
      </c>
      <c r="N4" s="921"/>
      <c r="O4" s="921"/>
      <c r="P4" s="921"/>
      <c r="Q4" s="921"/>
      <c r="R4" s="922"/>
    </row>
    <row r="5" spans="1:26">
      <c r="A5" s="907" t="s">
        <v>824</v>
      </c>
      <c r="B5" s="938"/>
      <c r="C5" s="938"/>
      <c r="D5" s="921">
        <f>'Header Info'!C12</f>
        <v>0</v>
      </c>
      <c r="E5" s="921"/>
      <c r="F5" s="921"/>
      <c r="G5" s="104"/>
      <c r="H5" s="104"/>
      <c r="I5" s="576"/>
      <c r="J5" s="905" t="s">
        <v>133</v>
      </c>
      <c r="K5" s="906"/>
      <c r="L5" s="900">
        <f>'Header Info'!C6</f>
        <v>0</v>
      </c>
      <c r="M5" s="921"/>
      <c r="N5" s="921"/>
      <c r="O5" s="921"/>
      <c r="P5" s="921"/>
      <c r="Q5" s="921"/>
      <c r="R5" s="922"/>
    </row>
    <row r="6" spans="1:26">
      <c r="A6" s="905" t="s">
        <v>372</v>
      </c>
      <c r="B6" s="906"/>
      <c r="C6" s="906"/>
      <c r="D6" s="827"/>
      <c r="E6" s="827"/>
      <c r="F6" s="827"/>
      <c r="G6" s="827"/>
      <c r="H6" s="827"/>
      <c r="I6" s="826"/>
      <c r="J6" s="907" t="s">
        <v>825</v>
      </c>
      <c r="K6" s="906"/>
      <c r="L6" s="906"/>
      <c r="M6" s="906"/>
      <c r="N6" s="906"/>
      <c r="O6" s="921">
        <f>'Header Info'!C9</f>
        <v>0</v>
      </c>
      <c r="P6" s="921"/>
      <c r="Q6" s="921"/>
      <c r="R6" s="922"/>
    </row>
    <row r="7" spans="1:26">
      <c r="A7" s="187" t="s">
        <v>373</v>
      </c>
      <c r="H7" s="923"/>
      <c r="I7" s="924"/>
      <c r="J7" s="187" t="s">
        <v>370</v>
      </c>
      <c r="O7" s="900"/>
      <c r="P7" s="900"/>
      <c r="Q7" s="900"/>
      <c r="R7" s="912"/>
    </row>
    <row r="8" spans="1:26">
      <c r="A8" s="191" t="s">
        <v>374</v>
      </c>
      <c r="B8" s="1"/>
      <c r="C8" s="1"/>
      <c r="D8" s="1"/>
      <c r="E8" s="1"/>
      <c r="F8" s="1"/>
      <c r="G8" s="1"/>
      <c r="H8" s="1"/>
      <c r="I8" s="11"/>
      <c r="J8" s="188" t="s">
        <v>375</v>
      </c>
      <c r="K8" s="1"/>
      <c r="L8" s="1"/>
      <c r="M8" s="900"/>
      <c r="N8" s="900"/>
      <c r="O8" s="900"/>
      <c r="P8" s="900"/>
      <c r="Q8" s="900"/>
      <c r="R8" s="912"/>
      <c r="T8" s="185" t="s">
        <v>569</v>
      </c>
    </row>
    <row r="9" spans="1:26" ht="12.75" customHeight="1">
      <c r="A9" s="931" t="s">
        <v>343</v>
      </c>
      <c r="B9" s="932"/>
      <c r="C9" s="932"/>
      <c r="D9" s="932"/>
      <c r="E9" s="933"/>
      <c r="F9" s="911" t="s">
        <v>363</v>
      </c>
      <c r="G9" s="911"/>
      <c r="H9" s="911" t="s">
        <v>364</v>
      </c>
      <c r="I9" s="911"/>
      <c r="J9" s="911" t="s">
        <v>365</v>
      </c>
      <c r="K9" s="911" t="s">
        <v>376</v>
      </c>
      <c r="L9" s="911"/>
      <c r="M9" s="911"/>
      <c r="N9" s="911"/>
      <c r="O9" s="911"/>
      <c r="P9" s="911"/>
      <c r="Q9" s="911" t="s">
        <v>23</v>
      </c>
      <c r="R9" s="911" t="s">
        <v>367</v>
      </c>
      <c r="T9" t="s">
        <v>156</v>
      </c>
    </row>
    <row r="10" spans="1:26">
      <c r="A10" s="934"/>
      <c r="B10" s="935"/>
      <c r="C10" s="935"/>
      <c r="D10" s="935"/>
      <c r="E10" s="936"/>
      <c r="F10" s="911"/>
      <c r="G10" s="911"/>
      <c r="H10" s="911"/>
      <c r="I10" s="911"/>
      <c r="J10" s="911"/>
      <c r="K10" s="911"/>
      <c r="L10" s="911"/>
      <c r="M10" s="911"/>
      <c r="N10" s="911"/>
      <c r="O10" s="911"/>
      <c r="P10" s="911"/>
      <c r="Q10" s="911"/>
      <c r="R10" s="911"/>
      <c r="T10" t="s">
        <v>157</v>
      </c>
      <c r="U10" t="s">
        <v>158</v>
      </c>
      <c r="V10" t="s">
        <v>159</v>
      </c>
      <c r="W10" t="s">
        <v>160</v>
      </c>
      <c r="X10" t="s">
        <v>161</v>
      </c>
      <c r="Y10" t="s">
        <v>162</v>
      </c>
    </row>
    <row r="11" spans="1:26">
      <c r="A11" s="928"/>
      <c r="B11" s="929"/>
      <c r="C11" s="929"/>
      <c r="D11" s="929"/>
      <c r="E11" s="930"/>
      <c r="F11" s="637"/>
      <c r="G11" s="638"/>
      <c r="H11" s="914"/>
      <c r="I11" s="914"/>
      <c r="J11" s="201"/>
      <c r="K11" s="637"/>
      <c r="L11" s="639"/>
      <c r="M11" s="639"/>
      <c r="N11" s="639"/>
      <c r="O11" s="639"/>
      <c r="P11" s="638"/>
      <c r="Q11" s="201" t="str">
        <f>IF(K11="","",IF(Z11&gt;0,"","X"))</f>
        <v/>
      </c>
      <c r="R11" s="201" t="str">
        <f>IF(K11="","",IF(Z11&gt;0,"X",""))</f>
        <v/>
      </c>
      <c r="T11" t="str">
        <f t="shared" ref="T11:Y12" si="0">IF(K11="","",IF(AND($F11="n/a",K11&lt;=$G11),"OK",IF(AND($G11="n/a",K11&gt;=$F11),"OK",IF(AND(K11&gt;=$F11,K11&lt;=$G11),"OK","NOT OK"))))</f>
        <v/>
      </c>
      <c r="U11" t="str">
        <f t="shared" si="0"/>
        <v/>
      </c>
      <c r="V11" t="str">
        <f t="shared" si="0"/>
        <v/>
      </c>
      <c r="W11" t="str">
        <f t="shared" si="0"/>
        <v/>
      </c>
      <c r="X11" t="str">
        <f t="shared" si="0"/>
        <v/>
      </c>
      <c r="Y11" t="str">
        <f t="shared" si="0"/>
        <v/>
      </c>
      <c r="Z11" s="15">
        <f>COUNTIF(T11:Y11,"NOT OK")</f>
        <v>0</v>
      </c>
    </row>
    <row r="12" spans="1:26">
      <c r="A12" s="928"/>
      <c r="B12" s="929"/>
      <c r="C12" s="929"/>
      <c r="D12" s="929"/>
      <c r="E12" s="930"/>
      <c r="F12" s="637"/>
      <c r="G12" s="638"/>
      <c r="H12" s="914"/>
      <c r="I12" s="914"/>
      <c r="J12" s="201"/>
      <c r="K12" s="637"/>
      <c r="L12" s="639"/>
      <c r="M12" s="639"/>
      <c r="N12" s="639"/>
      <c r="O12" s="639"/>
      <c r="P12" s="638"/>
      <c r="Q12" s="201" t="str">
        <f>IF(K12="","",IF(Z12&gt;0,"","X"))</f>
        <v/>
      </c>
      <c r="R12" s="201" t="str">
        <f>IF(K12="","",IF(Z12&gt;0,"X",""))</f>
        <v/>
      </c>
      <c r="T12" t="str">
        <f t="shared" si="0"/>
        <v/>
      </c>
      <c r="U12" t="str">
        <f t="shared" si="0"/>
        <v/>
      </c>
      <c r="V12" t="str">
        <f t="shared" si="0"/>
        <v/>
      </c>
      <c r="W12" t="str">
        <f t="shared" si="0"/>
        <v/>
      </c>
      <c r="X12" t="str">
        <f t="shared" si="0"/>
        <v/>
      </c>
      <c r="Y12" t="str">
        <f t="shared" si="0"/>
        <v/>
      </c>
      <c r="Z12" s="15">
        <f>COUNTIF(T12:Y12,"NOT OK")</f>
        <v>0</v>
      </c>
    </row>
    <row r="13" spans="1:26">
      <c r="A13" s="928"/>
      <c r="B13" s="929"/>
      <c r="C13" s="929"/>
      <c r="D13" s="929"/>
      <c r="E13" s="930"/>
      <c r="F13" s="637"/>
      <c r="G13" s="638"/>
      <c r="H13" s="914"/>
      <c r="I13" s="914"/>
      <c r="J13" s="201"/>
      <c r="K13" s="637"/>
      <c r="L13" s="639"/>
      <c r="M13" s="639"/>
      <c r="N13" s="639"/>
      <c r="O13" s="639"/>
      <c r="P13" s="638"/>
      <c r="Q13" s="201" t="str">
        <f t="shared" ref="Q13:Q48" si="1">IF(K13="","",IF(Z13&gt;0,"","X"))</f>
        <v/>
      </c>
      <c r="R13" s="201" t="str">
        <f t="shared" ref="R13:R48" si="2">IF(K13="","",IF(Z13&gt;0,"X",""))</f>
        <v/>
      </c>
      <c r="T13" t="str">
        <f t="shared" ref="T13:T48" si="3">IF(K13="","",IF(AND($F13="n/a",K13&lt;=$G13),"OK",IF(AND($G13="n/a",K13&gt;=$F13),"OK",IF(AND(K13&gt;=$F13,K13&lt;=$G13),"OK","NOT OK"))))</f>
        <v/>
      </c>
      <c r="U13" t="str">
        <f t="shared" ref="U13:U48" si="4">IF(L13="","",IF(AND($F13="n/a",L13&lt;=$G13),"OK",IF(AND($G13="n/a",L13&gt;=$F13),"OK",IF(AND(L13&gt;=$F13,L13&lt;=$G13),"OK","NOT OK"))))</f>
        <v/>
      </c>
      <c r="V13" t="str">
        <f t="shared" ref="V13:V48" si="5">IF(M13="","",IF(AND($F13="n/a",M13&lt;=$G13),"OK",IF(AND($G13="n/a",M13&gt;=$F13),"OK",IF(AND(M13&gt;=$F13,M13&lt;=$G13),"OK","NOT OK"))))</f>
        <v/>
      </c>
      <c r="W13" t="str">
        <f t="shared" ref="W13:W48" si="6">IF(N13="","",IF(AND($F13="n/a",N13&lt;=$G13),"OK",IF(AND($G13="n/a",N13&gt;=$F13),"OK",IF(AND(N13&gt;=$F13,N13&lt;=$G13),"OK","NOT OK"))))</f>
        <v/>
      </c>
      <c r="X13" t="str">
        <f t="shared" ref="X13:X48" si="7">IF(O13="","",IF(AND($F13="n/a",O13&lt;=$G13),"OK",IF(AND($G13="n/a",O13&gt;=$F13),"OK",IF(AND(O13&gt;=$F13,O13&lt;=$G13),"OK","NOT OK"))))</f>
        <v/>
      </c>
      <c r="Y13" t="str">
        <f t="shared" ref="Y13:Y48" si="8">IF(P13="","",IF(AND($F13="n/a",P13&lt;=$G13),"OK",IF(AND($G13="n/a",P13&gt;=$F13),"OK",IF(AND(P13&gt;=$F13,P13&lt;=$G13),"OK","NOT OK"))))</f>
        <v/>
      </c>
      <c r="Z13" s="15">
        <f t="shared" ref="Z13:Z48" si="9">COUNTIF(T13:Y13,"NOT OK")</f>
        <v>0</v>
      </c>
    </row>
    <row r="14" spans="1:26">
      <c r="A14" s="928"/>
      <c r="B14" s="929"/>
      <c r="C14" s="929"/>
      <c r="D14" s="929"/>
      <c r="E14" s="930"/>
      <c r="F14" s="637"/>
      <c r="G14" s="638"/>
      <c r="H14" s="914"/>
      <c r="I14" s="914"/>
      <c r="J14" s="201"/>
      <c r="K14" s="637"/>
      <c r="L14" s="639"/>
      <c r="M14" s="639"/>
      <c r="N14" s="639"/>
      <c r="O14" s="639"/>
      <c r="P14" s="638"/>
      <c r="Q14" s="201" t="str">
        <f t="shared" si="1"/>
        <v/>
      </c>
      <c r="R14" s="201" t="str">
        <f t="shared" si="2"/>
        <v/>
      </c>
      <c r="T14" t="str">
        <f t="shared" si="3"/>
        <v/>
      </c>
      <c r="U14" t="str">
        <f t="shared" si="4"/>
        <v/>
      </c>
      <c r="V14" t="str">
        <f t="shared" si="5"/>
        <v/>
      </c>
      <c r="W14" t="str">
        <f t="shared" si="6"/>
        <v/>
      </c>
      <c r="X14" t="str">
        <f t="shared" si="7"/>
        <v/>
      </c>
      <c r="Y14" t="str">
        <f t="shared" si="8"/>
        <v/>
      </c>
      <c r="Z14" s="15">
        <f t="shared" si="9"/>
        <v>0</v>
      </c>
    </row>
    <row r="15" spans="1:26">
      <c r="A15" s="928"/>
      <c r="B15" s="929"/>
      <c r="C15" s="929"/>
      <c r="D15" s="929"/>
      <c r="E15" s="930"/>
      <c r="F15" s="637"/>
      <c r="G15" s="638"/>
      <c r="H15" s="914"/>
      <c r="I15" s="914"/>
      <c r="J15" s="201"/>
      <c r="K15" s="637"/>
      <c r="L15" s="639"/>
      <c r="M15" s="639"/>
      <c r="N15" s="639"/>
      <c r="O15" s="639"/>
      <c r="P15" s="638"/>
      <c r="Q15" s="201" t="str">
        <f t="shared" si="1"/>
        <v/>
      </c>
      <c r="R15" s="201" t="str">
        <f t="shared" si="2"/>
        <v/>
      </c>
      <c r="T15" t="str">
        <f t="shared" si="3"/>
        <v/>
      </c>
      <c r="U15" t="str">
        <f t="shared" si="4"/>
        <v/>
      </c>
      <c r="V15" t="str">
        <f t="shared" si="5"/>
        <v/>
      </c>
      <c r="W15" t="str">
        <f t="shared" si="6"/>
        <v/>
      </c>
      <c r="X15" t="str">
        <f t="shared" si="7"/>
        <v/>
      </c>
      <c r="Y15" t="str">
        <f t="shared" si="8"/>
        <v/>
      </c>
      <c r="Z15" s="15">
        <f t="shared" si="9"/>
        <v>0</v>
      </c>
    </row>
    <row r="16" spans="1:26">
      <c r="A16" s="928"/>
      <c r="B16" s="929"/>
      <c r="C16" s="929"/>
      <c r="D16" s="929"/>
      <c r="E16" s="930"/>
      <c r="F16" s="637"/>
      <c r="G16" s="638"/>
      <c r="H16" s="914"/>
      <c r="I16" s="914"/>
      <c r="J16" s="201"/>
      <c r="K16" s="637"/>
      <c r="L16" s="639"/>
      <c r="M16" s="639"/>
      <c r="N16" s="639"/>
      <c r="O16" s="639"/>
      <c r="P16" s="638"/>
      <c r="Q16" s="201" t="str">
        <f t="shared" si="1"/>
        <v/>
      </c>
      <c r="R16" s="201" t="str">
        <f t="shared" si="2"/>
        <v/>
      </c>
      <c r="T16" t="str">
        <f t="shared" si="3"/>
        <v/>
      </c>
      <c r="U16" t="str">
        <f t="shared" si="4"/>
        <v/>
      </c>
      <c r="V16" t="str">
        <f t="shared" si="5"/>
        <v/>
      </c>
      <c r="W16" t="str">
        <f t="shared" si="6"/>
        <v/>
      </c>
      <c r="X16" t="str">
        <f t="shared" si="7"/>
        <v/>
      </c>
      <c r="Y16" t="str">
        <f t="shared" si="8"/>
        <v/>
      </c>
      <c r="Z16" s="15">
        <f t="shared" si="9"/>
        <v>0</v>
      </c>
    </row>
    <row r="17" spans="1:26">
      <c r="A17" s="928"/>
      <c r="B17" s="929"/>
      <c r="C17" s="929"/>
      <c r="D17" s="929"/>
      <c r="E17" s="930"/>
      <c r="F17" s="637"/>
      <c r="G17" s="638"/>
      <c r="H17" s="914"/>
      <c r="I17" s="914"/>
      <c r="J17" s="201"/>
      <c r="K17" s="637"/>
      <c r="L17" s="639"/>
      <c r="M17" s="639"/>
      <c r="N17" s="639"/>
      <c r="O17" s="639"/>
      <c r="P17" s="638"/>
      <c r="Q17" s="201" t="str">
        <f t="shared" si="1"/>
        <v/>
      </c>
      <c r="R17" s="201" t="str">
        <f t="shared" si="2"/>
        <v/>
      </c>
      <c r="T17" t="str">
        <f t="shared" si="3"/>
        <v/>
      </c>
      <c r="U17" t="str">
        <f t="shared" si="4"/>
        <v/>
      </c>
      <c r="V17" t="str">
        <f t="shared" si="5"/>
        <v/>
      </c>
      <c r="W17" t="str">
        <f t="shared" si="6"/>
        <v/>
      </c>
      <c r="X17" t="str">
        <f t="shared" si="7"/>
        <v/>
      </c>
      <c r="Y17" t="str">
        <f t="shared" si="8"/>
        <v/>
      </c>
      <c r="Z17" s="15">
        <f t="shared" si="9"/>
        <v>0</v>
      </c>
    </row>
    <row r="18" spans="1:26">
      <c r="A18" s="928"/>
      <c r="B18" s="929"/>
      <c r="C18" s="929"/>
      <c r="D18" s="929"/>
      <c r="E18" s="930"/>
      <c r="F18" s="637"/>
      <c r="G18" s="638"/>
      <c r="H18" s="914"/>
      <c r="I18" s="914"/>
      <c r="J18" s="201"/>
      <c r="K18" s="637"/>
      <c r="L18" s="639"/>
      <c r="M18" s="639"/>
      <c r="N18" s="639"/>
      <c r="O18" s="639"/>
      <c r="P18" s="638"/>
      <c r="Q18" s="201" t="str">
        <f t="shared" si="1"/>
        <v/>
      </c>
      <c r="R18" s="201" t="str">
        <f t="shared" si="2"/>
        <v/>
      </c>
      <c r="T18" t="str">
        <f t="shared" si="3"/>
        <v/>
      </c>
      <c r="U18" t="str">
        <f t="shared" si="4"/>
        <v/>
      </c>
      <c r="V18" t="str">
        <f t="shared" si="5"/>
        <v/>
      </c>
      <c r="W18" t="str">
        <f t="shared" si="6"/>
        <v/>
      </c>
      <c r="X18" t="str">
        <f t="shared" si="7"/>
        <v/>
      </c>
      <c r="Y18" t="str">
        <f t="shared" si="8"/>
        <v/>
      </c>
      <c r="Z18" s="15">
        <f t="shared" si="9"/>
        <v>0</v>
      </c>
    </row>
    <row r="19" spans="1:26">
      <c r="A19" s="928"/>
      <c r="B19" s="929"/>
      <c r="C19" s="929"/>
      <c r="D19" s="929"/>
      <c r="E19" s="930"/>
      <c r="F19" s="637"/>
      <c r="G19" s="638"/>
      <c r="H19" s="914"/>
      <c r="I19" s="914"/>
      <c r="J19" s="201"/>
      <c r="K19" s="637"/>
      <c r="L19" s="639"/>
      <c r="M19" s="639"/>
      <c r="N19" s="639"/>
      <c r="O19" s="639"/>
      <c r="P19" s="638"/>
      <c r="Q19" s="201" t="str">
        <f t="shared" si="1"/>
        <v/>
      </c>
      <c r="R19" s="201" t="str">
        <f t="shared" si="2"/>
        <v/>
      </c>
      <c r="T19" t="str">
        <f t="shared" si="3"/>
        <v/>
      </c>
      <c r="U19" t="str">
        <f t="shared" si="4"/>
        <v/>
      </c>
      <c r="V19" t="str">
        <f t="shared" si="5"/>
        <v/>
      </c>
      <c r="W19" t="str">
        <f t="shared" si="6"/>
        <v/>
      </c>
      <c r="X19" t="str">
        <f t="shared" si="7"/>
        <v/>
      </c>
      <c r="Y19" t="str">
        <f t="shared" si="8"/>
        <v/>
      </c>
      <c r="Z19" s="15">
        <f t="shared" si="9"/>
        <v>0</v>
      </c>
    </row>
    <row r="20" spans="1:26">
      <c r="A20" s="928"/>
      <c r="B20" s="929"/>
      <c r="C20" s="929"/>
      <c r="D20" s="929"/>
      <c r="E20" s="930"/>
      <c r="F20" s="637"/>
      <c r="G20" s="638"/>
      <c r="H20" s="914"/>
      <c r="I20" s="914"/>
      <c r="J20" s="201"/>
      <c r="K20" s="637"/>
      <c r="L20" s="639"/>
      <c r="M20" s="639"/>
      <c r="N20" s="639"/>
      <c r="O20" s="639"/>
      <c r="P20" s="638"/>
      <c r="Q20" s="201" t="str">
        <f t="shared" si="1"/>
        <v/>
      </c>
      <c r="R20" s="201" t="str">
        <f t="shared" si="2"/>
        <v/>
      </c>
      <c r="T20" t="str">
        <f t="shared" si="3"/>
        <v/>
      </c>
      <c r="U20" t="str">
        <f t="shared" si="4"/>
        <v/>
      </c>
      <c r="V20" t="str">
        <f t="shared" si="5"/>
        <v/>
      </c>
      <c r="W20" t="str">
        <f t="shared" si="6"/>
        <v/>
      </c>
      <c r="X20" t="str">
        <f t="shared" si="7"/>
        <v/>
      </c>
      <c r="Y20" t="str">
        <f t="shared" si="8"/>
        <v/>
      </c>
      <c r="Z20" s="15">
        <f t="shared" si="9"/>
        <v>0</v>
      </c>
    </row>
    <row r="21" spans="1:26">
      <c r="A21" s="928"/>
      <c r="B21" s="929"/>
      <c r="C21" s="929"/>
      <c r="D21" s="929"/>
      <c r="E21" s="930"/>
      <c r="F21" s="637"/>
      <c r="G21" s="638"/>
      <c r="H21" s="914"/>
      <c r="I21" s="914"/>
      <c r="J21" s="201"/>
      <c r="K21" s="637"/>
      <c r="L21" s="639"/>
      <c r="M21" s="639"/>
      <c r="N21" s="639"/>
      <c r="O21" s="639"/>
      <c r="P21" s="638"/>
      <c r="Q21" s="201" t="str">
        <f t="shared" si="1"/>
        <v/>
      </c>
      <c r="R21" s="201" t="str">
        <f t="shared" si="2"/>
        <v/>
      </c>
      <c r="T21" t="str">
        <f t="shared" si="3"/>
        <v/>
      </c>
      <c r="U21" t="str">
        <f t="shared" si="4"/>
        <v/>
      </c>
      <c r="V21" t="str">
        <f t="shared" si="5"/>
        <v/>
      </c>
      <c r="W21" t="str">
        <f t="shared" si="6"/>
        <v/>
      </c>
      <c r="X21" t="str">
        <f t="shared" si="7"/>
        <v/>
      </c>
      <c r="Y21" t="str">
        <f t="shared" si="8"/>
        <v/>
      </c>
      <c r="Z21" s="15">
        <f t="shared" si="9"/>
        <v>0</v>
      </c>
    </row>
    <row r="22" spans="1:26">
      <c r="A22" s="928"/>
      <c r="B22" s="929"/>
      <c r="C22" s="929"/>
      <c r="D22" s="929"/>
      <c r="E22" s="930"/>
      <c r="F22" s="637"/>
      <c r="G22" s="638"/>
      <c r="H22" s="914"/>
      <c r="I22" s="914"/>
      <c r="J22" s="201"/>
      <c r="K22" s="637"/>
      <c r="L22" s="639"/>
      <c r="M22" s="639"/>
      <c r="N22" s="639"/>
      <c r="O22" s="639"/>
      <c r="P22" s="638"/>
      <c r="Q22" s="201" t="str">
        <f t="shared" si="1"/>
        <v/>
      </c>
      <c r="R22" s="201" t="str">
        <f t="shared" si="2"/>
        <v/>
      </c>
      <c r="T22" t="str">
        <f t="shared" si="3"/>
        <v/>
      </c>
      <c r="U22" t="str">
        <f t="shared" si="4"/>
        <v/>
      </c>
      <c r="V22" t="str">
        <f t="shared" si="5"/>
        <v/>
      </c>
      <c r="W22" t="str">
        <f t="shared" si="6"/>
        <v/>
      </c>
      <c r="X22" t="str">
        <f t="shared" si="7"/>
        <v/>
      </c>
      <c r="Y22" t="str">
        <f t="shared" si="8"/>
        <v/>
      </c>
      <c r="Z22" s="15">
        <f t="shared" si="9"/>
        <v>0</v>
      </c>
    </row>
    <row r="23" spans="1:26">
      <c r="A23" s="928"/>
      <c r="B23" s="929"/>
      <c r="C23" s="929"/>
      <c r="D23" s="929"/>
      <c r="E23" s="930"/>
      <c r="F23" s="637"/>
      <c r="G23" s="638"/>
      <c r="H23" s="914"/>
      <c r="I23" s="914"/>
      <c r="J23" s="201"/>
      <c r="K23" s="637"/>
      <c r="L23" s="639"/>
      <c r="M23" s="639"/>
      <c r="N23" s="639"/>
      <c r="O23" s="639"/>
      <c r="P23" s="638"/>
      <c r="Q23" s="201" t="str">
        <f t="shared" si="1"/>
        <v/>
      </c>
      <c r="R23" s="201" t="str">
        <f t="shared" si="2"/>
        <v/>
      </c>
      <c r="T23" t="str">
        <f t="shared" si="3"/>
        <v/>
      </c>
      <c r="U23" t="str">
        <f t="shared" si="4"/>
        <v/>
      </c>
      <c r="V23" t="str">
        <f t="shared" si="5"/>
        <v/>
      </c>
      <c r="W23" t="str">
        <f t="shared" si="6"/>
        <v/>
      </c>
      <c r="X23" t="str">
        <f t="shared" si="7"/>
        <v/>
      </c>
      <c r="Y23" t="str">
        <f t="shared" si="8"/>
        <v/>
      </c>
      <c r="Z23" s="15">
        <f t="shared" si="9"/>
        <v>0</v>
      </c>
    </row>
    <row r="24" spans="1:26">
      <c r="A24" s="928"/>
      <c r="B24" s="929"/>
      <c r="C24" s="929"/>
      <c r="D24" s="929"/>
      <c r="E24" s="930"/>
      <c r="F24" s="637"/>
      <c r="G24" s="638"/>
      <c r="H24" s="914"/>
      <c r="I24" s="914"/>
      <c r="J24" s="201"/>
      <c r="K24" s="637"/>
      <c r="L24" s="639"/>
      <c r="M24" s="639"/>
      <c r="N24" s="639"/>
      <c r="O24" s="639"/>
      <c r="P24" s="638"/>
      <c r="Q24" s="201" t="str">
        <f t="shared" si="1"/>
        <v/>
      </c>
      <c r="R24" s="201" t="str">
        <f t="shared" si="2"/>
        <v/>
      </c>
      <c r="T24" t="str">
        <f t="shared" si="3"/>
        <v/>
      </c>
      <c r="U24" t="str">
        <f t="shared" si="4"/>
        <v/>
      </c>
      <c r="V24" t="str">
        <f t="shared" si="5"/>
        <v/>
      </c>
      <c r="W24" t="str">
        <f t="shared" si="6"/>
        <v/>
      </c>
      <c r="X24" t="str">
        <f t="shared" si="7"/>
        <v/>
      </c>
      <c r="Y24" t="str">
        <f t="shared" si="8"/>
        <v/>
      </c>
      <c r="Z24" s="15">
        <f t="shared" si="9"/>
        <v>0</v>
      </c>
    </row>
    <row r="25" spans="1:26">
      <c r="A25" s="928"/>
      <c r="B25" s="929"/>
      <c r="C25" s="929"/>
      <c r="D25" s="929"/>
      <c r="E25" s="930"/>
      <c r="F25" s="637"/>
      <c r="G25" s="638"/>
      <c r="H25" s="914"/>
      <c r="I25" s="914"/>
      <c r="J25" s="201"/>
      <c r="K25" s="637"/>
      <c r="L25" s="639"/>
      <c r="M25" s="639"/>
      <c r="N25" s="639"/>
      <c r="O25" s="639"/>
      <c r="P25" s="638"/>
      <c r="Q25" s="201" t="str">
        <f t="shared" si="1"/>
        <v/>
      </c>
      <c r="R25" s="201" t="str">
        <f t="shared" si="2"/>
        <v/>
      </c>
      <c r="T25" t="str">
        <f t="shared" si="3"/>
        <v/>
      </c>
      <c r="U25" t="str">
        <f t="shared" si="4"/>
        <v/>
      </c>
      <c r="V25" t="str">
        <f t="shared" si="5"/>
        <v/>
      </c>
      <c r="W25" t="str">
        <f t="shared" si="6"/>
        <v/>
      </c>
      <c r="X25" t="str">
        <f t="shared" si="7"/>
        <v/>
      </c>
      <c r="Y25" t="str">
        <f t="shared" si="8"/>
        <v/>
      </c>
      <c r="Z25" s="15">
        <f t="shared" si="9"/>
        <v>0</v>
      </c>
    </row>
    <row r="26" spans="1:26">
      <c r="A26" s="928"/>
      <c r="B26" s="929"/>
      <c r="C26" s="929"/>
      <c r="D26" s="929"/>
      <c r="E26" s="930"/>
      <c r="F26" s="637"/>
      <c r="G26" s="638"/>
      <c r="H26" s="914"/>
      <c r="I26" s="914"/>
      <c r="J26" s="201"/>
      <c r="K26" s="637"/>
      <c r="L26" s="639"/>
      <c r="M26" s="639"/>
      <c r="N26" s="639"/>
      <c r="O26" s="639"/>
      <c r="P26" s="638"/>
      <c r="Q26" s="201" t="str">
        <f t="shared" si="1"/>
        <v/>
      </c>
      <c r="R26" s="201" t="str">
        <f t="shared" si="2"/>
        <v/>
      </c>
      <c r="T26" t="str">
        <f t="shared" si="3"/>
        <v/>
      </c>
      <c r="U26" t="str">
        <f t="shared" si="4"/>
        <v/>
      </c>
      <c r="V26" t="str">
        <f t="shared" si="5"/>
        <v/>
      </c>
      <c r="W26" t="str">
        <f t="shared" si="6"/>
        <v/>
      </c>
      <c r="X26" t="str">
        <f t="shared" si="7"/>
        <v/>
      </c>
      <c r="Y26" t="str">
        <f t="shared" si="8"/>
        <v/>
      </c>
      <c r="Z26" s="15">
        <f t="shared" si="9"/>
        <v>0</v>
      </c>
    </row>
    <row r="27" spans="1:26">
      <c r="A27" s="928"/>
      <c r="B27" s="929"/>
      <c r="C27" s="929"/>
      <c r="D27" s="929"/>
      <c r="E27" s="930"/>
      <c r="F27" s="637"/>
      <c r="G27" s="638"/>
      <c r="H27" s="914"/>
      <c r="I27" s="914"/>
      <c r="J27" s="201"/>
      <c r="K27" s="637"/>
      <c r="L27" s="639"/>
      <c r="M27" s="639"/>
      <c r="N27" s="639"/>
      <c r="O27" s="639"/>
      <c r="P27" s="638"/>
      <c r="Q27" s="201" t="str">
        <f t="shared" si="1"/>
        <v/>
      </c>
      <c r="R27" s="201" t="str">
        <f t="shared" si="2"/>
        <v/>
      </c>
      <c r="T27" t="str">
        <f t="shared" si="3"/>
        <v/>
      </c>
      <c r="U27" t="str">
        <f t="shared" si="4"/>
        <v/>
      </c>
      <c r="V27" t="str">
        <f t="shared" si="5"/>
        <v/>
      </c>
      <c r="W27" t="str">
        <f t="shared" si="6"/>
        <v/>
      </c>
      <c r="X27" t="str">
        <f t="shared" si="7"/>
        <v/>
      </c>
      <c r="Y27" t="str">
        <f t="shared" si="8"/>
        <v/>
      </c>
      <c r="Z27" s="15">
        <f t="shared" si="9"/>
        <v>0</v>
      </c>
    </row>
    <row r="28" spans="1:26">
      <c r="A28" s="928"/>
      <c r="B28" s="929"/>
      <c r="C28" s="929"/>
      <c r="D28" s="929"/>
      <c r="E28" s="930"/>
      <c r="F28" s="637"/>
      <c r="G28" s="638"/>
      <c r="H28" s="914"/>
      <c r="I28" s="914"/>
      <c r="J28" s="201"/>
      <c r="K28" s="637"/>
      <c r="L28" s="639"/>
      <c r="M28" s="639"/>
      <c r="N28" s="639"/>
      <c r="O28" s="639"/>
      <c r="P28" s="638"/>
      <c r="Q28" s="201" t="str">
        <f t="shared" si="1"/>
        <v/>
      </c>
      <c r="R28" s="201" t="str">
        <f t="shared" si="2"/>
        <v/>
      </c>
      <c r="T28" t="str">
        <f t="shared" si="3"/>
        <v/>
      </c>
      <c r="U28" t="str">
        <f t="shared" si="4"/>
        <v/>
      </c>
      <c r="V28" t="str">
        <f t="shared" si="5"/>
        <v/>
      </c>
      <c r="W28" t="str">
        <f t="shared" si="6"/>
        <v/>
      </c>
      <c r="X28" t="str">
        <f t="shared" si="7"/>
        <v/>
      </c>
      <c r="Y28" t="str">
        <f t="shared" si="8"/>
        <v/>
      </c>
      <c r="Z28" s="15">
        <f t="shared" si="9"/>
        <v>0</v>
      </c>
    </row>
    <row r="29" spans="1:26">
      <c r="A29" s="928"/>
      <c r="B29" s="929"/>
      <c r="C29" s="929"/>
      <c r="D29" s="929"/>
      <c r="E29" s="930"/>
      <c r="F29" s="637"/>
      <c r="G29" s="638"/>
      <c r="H29" s="914"/>
      <c r="I29" s="914"/>
      <c r="J29" s="201"/>
      <c r="K29" s="637"/>
      <c r="L29" s="639"/>
      <c r="M29" s="639"/>
      <c r="N29" s="639"/>
      <c r="O29" s="639"/>
      <c r="P29" s="638"/>
      <c r="Q29" s="201" t="str">
        <f t="shared" si="1"/>
        <v/>
      </c>
      <c r="R29" s="201" t="str">
        <f t="shared" si="2"/>
        <v/>
      </c>
      <c r="T29" t="str">
        <f t="shared" si="3"/>
        <v/>
      </c>
      <c r="U29" t="str">
        <f t="shared" si="4"/>
        <v/>
      </c>
      <c r="V29" t="str">
        <f t="shared" si="5"/>
        <v/>
      </c>
      <c r="W29" t="str">
        <f t="shared" si="6"/>
        <v/>
      </c>
      <c r="X29" t="str">
        <f t="shared" si="7"/>
        <v/>
      </c>
      <c r="Y29" t="str">
        <f t="shared" si="8"/>
        <v/>
      </c>
      <c r="Z29" s="15">
        <f t="shared" si="9"/>
        <v>0</v>
      </c>
    </row>
    <row r="30" spans="1:26">
      <c r="A30" s="928"/>
      <c r="B30" s="929"/>
      <c r="C30" s="929"/>
      <c r="D30" s="929"/>
      <c r="E30" s="930"/>
      <c r="F30" s="637"/>
      <c r="G30" s="638"/>
      <c r="H30" s="914"/>
      <c r="I30" s="914"/>
      <c r="J30" s="201"/>
      <c r="K30" s="637"/>
      <c r="L30" s="639"/>
      <c r="M30" s="639"/>
      <c r="N30" s="639"/>
      <c r="O30" s="639"/>
      <c r="P30" s="638"/>
      <c r="Q30" s="201" t="str">
        <f t="shared" si="1"/>
        <v/>
      </c>
      <c r="R30" s="201" t="str">
        <f t="shared" si="2"/>
        <v/>
      </c>
      <c r="T30" t="str">
        <f t="shared" si="3"/>
        <v/>
      </c>
      <c r="U30" t="str">
        <f t="shared" si="4"/>
        <v/>
      </c>
      <c r="V30" t="str">
        <f t="shared" si="5"/>
        <v/>
      </c>
      <c r="W30" t="str">
        <f t="shared" si="6"/>
        <v/>
      </c>
      <c r="X30" t="str">
        <f t="shared" si="7"/>
        <v/>
      </c>
      <c r="Y30" t="str">
        <f t="shared" si="8"/>
        <v/>
      </c>
      <c r="Z30" s="15">
        <f t="shared" si="9"/>
        <v>0</v>
      </c>
    </row>
    <row r="31" spans="1:26">
      <c r="A31" s="928"/>
      <c r="B31" s="929"/>
      <c r="C31" s="929"/>
      <c r="D31" s="929"/>
      <c r="E31" s="930"/>
      <c r="F31" s="637"/>
      <c r="G31" s="638"/>
      <c r="H31" s="914"/>
      <c r="I31" s="914"/>
      <c r="J31" s="201"/>
      <c r="K31" s="637"/>
      <c r="L31" s="639"/>
      <c r="M31" s="639"/>
      <c r="N31" s="639"/>
      <c r="O31" s="639"/>
      <c r="P31" s="638"/>
      <c r="Q31" s="201" t="str">
        <f t="shared" si="1"/>
        <v/>
      </c>
      <c r="R31" s="201" t="str">
        <f t="shared" si="2"/>
        <v/>
      </c>
      <c r="T31" t="str">
        <f t="shared" si="3"/>
        <v/>
      </c>
      <c r="U31" t="str">
        <f t="shared" si="4"/>
        <v/>
      </c>
      <c r="V31" t="str">
        <f t="shared" si="5"/>
        <v/>
      </c>
      <c r="W31" t="str">
        <f t="shared" si="6"/>
        <v/>
      </c>
      <c r="X31" t="str">
        <f t="shared" si="7"/>
        <v/>
      </c>
      <c r="Y31" t="str">
        <f t="shared" si="8"/>
        <v/>
      </c>
      <c r="Z31" s="15">
        <f t="shared" si="9"/>
        <v>0</v>
      </c>
    </row>
    <row r="32" spans="1:26">
      <c r="A32" s="928"/>
      <c r="B32" s="929"/>
      <c r="C32" s="929"/>
      <c r="D32" s="929"/>
      <c r="E32" s="930"/>
      <c r="F32" s="637"/>
      <c r="G32" s="638"/>
      <c r="H32" s="914"/>
      <c r="I32" s="914"/>
      <c r="J32" s="201"/>
      <c r="K32" s="637"/>
      <c r="L32" s="639"/>
      <c r="M32" s="639"/>
      <c r="N32" s="639"/>
      <c r="O32" s="639"/>
      <c r="P32" s="638"/>
      <c r="Q32" s="201" t="str">
        <f t="shared" si="1"/>
        <v/>
      </c>
      <c r="R32" s="201" t="str">
        <f t="shared" si="2"/>
        <v/>
      </c>
      <c r="T32" t="str">
        <f t="shared" si="3"/>
        <v/>
      </c>
      <c r="U32" t="str">
        <f t="shared" si="4"/>
        <v/>
      </c>
      <c r="V32" t="str">
        <f t="shared" si="5"/>
        <v/>
      </c>
      <c r="W32" t="str">
        <f t="shared" si="6"/>
        <v/>
      </c>
      <c r="X32" t="str">
        <f t="shared" si="7"/>
        <v/>
      </c>
      <c r="Y32" t="str">
        <f t="shared" si="8"/>
        <v/>
      </c>
      <c r="Z32" s="15">
        <f t="shared" si="9"/>
        <v>0</v>
      </c>
    </row>
    <row r="33" spans="1:26">
      <c r="A33" s="928"/>
      <c r="B33" s="929"/>
      <c r="C33" s="929"/>
      <c r="D33" s="929"/>
      <c r="E33" s="930"/>
      <c r="F33" s="637"/>
      <c r="G33" s="638"/>
      <c r="H33" s="914"/>
      <c r="I33" s="914"/>
      <c r="J33" s="201"/>
      <c r="K33" s="637"/>
      <c r="L33" s="639"/>
      <c r="M33" s="639"/>
      <c r="N33" s="639"/>
      <c r="O33" s="639"/>
      <c r="P33" s="638"/>
      <c r="Q33" s="201" t="str">
        <f t="shared" si="1"/>
        <v/>
      </c>
      <c r="R33" s="201" t="str">
        <f t="shared" si="2"/>
        <v/>
      </c>
      <c r="T33" t="str">
        <f t="shared" si="3"/>
        <v/>
      </c>
      <c r="U33" t="str">
        <f t="shared" si="4"/>
        <v/>
      </c>
      <c r="V33" t="str">
        <f t="shared" si="5"/>
        <v/>
      </c>
      <c r="W33" t="str">
        <f t="shared" si="6"/>
        <v/>
      </c>
      <c r="X33" t="str">
        <f t="shared" si="7"/>
        <v/>
      </c>
      <c r="Y33" t="str">
        <f t="shared" si="8"/>
        <v/>
      </c>
      <c r="Z33" s="15">
        <f t="shared" si="9"/>
        <v>0</v>
      </c>
    </row>
    <row r="34" spans="1:26">
      <c r="A34" s="928"/>
      <c r="B34" s="929"/>
      <c r="C34" s="929"/>
      <c r="D34" s="929"/>
      <c r="E34" s="930"/>
      <c r="F34" s="637"/>
      <c r="G34" s="638"/>
      <c r="H34" s="914"/>
      <c r="I34" s="914"/>
      <c r="J34" s="201"/>
      <c r="K34" s="637"/>
      <c r="L34" s="639"/>
      <c r="M34" s="639"/>
      <c r="N34" s="639"/>
      <c r="O34" s="639"/>
      <c r="P34" s="638"/>
      <c r="Q34" s="201" t="str">
        <f t="shared" si="1"/>
        <v/>
      </c>
      <c r="R34" s="201" t="str">
        <f t="shared" si="2"/>
        <v/>
      </c>
      <c r="T34" t="str">
        <f t="shared" si="3"/>
        <v/>
      </c>
      <c r="U34" t="str">
        <f t="shared" si="4"/>
        <v/>
      </c>
      <c r="V34" t="str">
        <f t="shared" si="5"/>
        <v/>
      </c>
      <c r="W34" t="str">
        <f t="shared" si="6"/>
        <v/>
      </c>
      <c r="X34" t="str">
        <f t="shared" si="7"/>
        <v/>
      </c>
      <c r="Y34" t="str">
        <f t="shared" si="8"/>
        <v/>
      </c>
      <c r="Z34" s="15">
        <f t="shared" si="9"/>
        <v>0</v>
      </c>
    </row>
    <row r="35" spans="1:26">
      <c r="A35" s="928"/>
      <c r="B35" s="929"/>
      <c r="C35" s="929"/>
      <c r="D35" s="929"/>
      <c r="E35" s="930"/>
      <c r="F35" s="637"/>
      <c r="G35" s="638"/>
      <c r="H35" s="914"/>
      <c r="I35" s="914"/>
      <c r="J35" s="201"/>
      <c r="K35" s="637"/>
      <c r="L35" s="639"/>
      <c r="M35" s="639"/>
      <c r="N35" s="639"/>
      <c r="O35" s="639"/>
      <c r="P35" s="638"/>
      <c r="Q35" s="201" t="str">
        <f t="shared" si="1"/>
        <v/>
      </c>
      <c r="R35" s="201" t="str">
        <f t="shared" si="2"/>
        <v/>
      </c>
      <c r="T35" t="str">
        <f t="shared" si="3"/>
        <v/>
      </c>
      <c r="U35" t="str">
        <f t="shared" si="4"/>
        <v/>
      </c>
      <c r="V35" t="str">
        <f t="shared" si="5"/>
        <v/>
      </c>
      <c r="W35" t="str">
        <f t="shared" si="6"/>
        <v/>
      </c>
      <c r="X35" t="str">
        <f t="shared" si="7"/>
        <v/>
      </c>
      <c r="Y35" t="str">
        <f t="shared" si="8"/>
        <v/>
      </c>
      <c r="Z35" s="15">
        <f t="shared" si="9"/>
        <v>0</v>
      </c>
    </row>
    <row r="36" spans="1:26">
      <c r="A36" s="928"/>
      <c r="B36" s="929"/>
      <c r="C36" s="929"/>
      <c r="D36" s="929"/>
      <c r="E36" s="930"/>
      <c r="F36" s="637"/>
      <c r="G36" s="638"/>
      <c r="H36" s="914"/>
      <c r="I36" s="914"/>
      <c r="J36" s="201"/>
      <c r="K36" s="637"/>
      <c r="L36" s="639"/>
      <c r="M36" s="639"/>
      <c r="N36" s="639"/>
      <c r="O36" s="639"/>
      <c r="P36" s="638"/>
      <c r="Q36" s="201" t="str">
        <f t="shared" si="1"/>
        <v/>
      </c>
      <c r="R36" s="201" t="str">
        <f t="shared" si="2"/>
        <v/>
      </c>
      <c r="T36" t="str">
        <f t="shared" si="3"/>
        <v/>
      </c>
      <c r="U36" t="str">
        <f t="shared" si="4"/>
        <v/>
      </c>
      <c r="V36" t="str">
        <f t="shared" si="5"/>
        <v/>
      </c>
      <c r="W36" t="str">
        <f t="shared" si="6"/>
        <v/>
      </c>
      <c r="X36" t="str">
        <f t="shared" si="7"/>
        <v/>
      </c>
      <c r="Y36" t="str">
        <f t="shared" si="8"/>
        <v/>
      </c>
      <c r="Z36" s="15">
        <f t="shared" si="9"/>
        <v>0</v>
      </c>
    </row>
    <row r="37" spans="1:26">
      <c r="A37" s="928"/>
      <c r="B37" s="929"/>
      <c r="C37" s="929"/>
      <c r="D37" s="929"/>
      <c r="E37" s="930"/>
      <c r="F37" s="637"/>
      <c r="G37" s="638"/>
      <c r="H37" s="914"/>
      <c r="I37" s="914"/>
      <c r="J37" s="201"/>
      <c r="K37" s="637"/>
      <c r="L37" s="639"/>
      <c r="M37" s="639"/>
      <c r="N37" s="639"/>
      <c r="O37" s="639"/>
      <c r="P37" s="638"/>
      <c r="Q37" s="201" t="str">
        <f t="shared" si="1"/>
        <v/>
      </c>
      <c r="R37" s="201" t="str">
        <f t="shared" si="2"/>
        <v/>
      </c>
      <c r="T37" t="str">
        <f t="shared" si="3"/>
        <v/>
      </c>
      <c r="U37" t="str">
        <f t="shared" si="4"/>
        <v/>
      </c>
      <c r="V37" t="str">
        <f t="shared" si="5"/>
        <v/>
      </c>
      <c r="W37" t="str">
        <f t="shared" si="6"/>
        <v/>
      </c>
      <c r="X37" t="str">
        <f t="shared" si="7"/>
        <v/>
      </c>
      <c r="Y37" t="str">
        <f t="shared" si="8"/>
        <v/>
      </c>
      <c r="Z37" s="15">
        <f t="shared" si="9"/>
        <v>0</v>
      </c>
    </row>
    <row r="38" spans="1:26">
      <c r="A38" s="928"/>
      <c r="B38" s="929"/>
      <c r="C38" s="929"/>
      <c r="D38" s="929"/>
      <c r="E38" s="930"/>
      <c r="F38" s="637"/>
      <c r="G38" s="638"/>
      <c r="H38" s="914"/>
      <c r="I38" s="914"/>
      <c r="J38" s="201"/>
      <c r="K38" s="637"/>
      <c r="L38" s="639"/>
      <c r="M38" s="639"/>
      <c r="N38" s="639"/>
      <c r="O38" s="639"/>
      <c r="P38" s="638"/>
      <c r="Q38" s="201" t="str">
        <f t="shared" si="1"/>
        <v/>
      </c>
      <c r="R38" s="201" t="str">
        <f t="shared" si="2"/>
        <v/>
      </c>
      <c r="T38" t="str">
        <f t="shared" si="3"/>
        <v/>
      </c>
      <c r="U38" t="str">
        <f t="shared" si="4"/>
        <v/>
      </c>
      <c r="V38" t="str">
        <f t="shared" si="5"/>
        <v/>
      </c>
      <c r="W38" t="str">
        <f t="shared" si="6"/>
        <v/>
      </c>
      <c r="X38" t="str">
        <f t="shared" si="7"/>
        <v/>
      </c>
      <c r="Y38" t="str">
        <f t="shared" si="8"/>
        <v/>
      </c>
      <c r="Z38" s="15">
        <f t="shared" si="9"/>
        <v>0</v>
      </c>
    </row>
    <row r="39" spans="1:26">
      <c r="A39" s="928"/>
      <c r="B39" s="929"/>
      <c r="C39" s="929"/>
      <c r="D39" s="929"/>
      <c r="E39" s="930"/>
      <c r="F39" s="637"/>
      <c r="G39" s="638"/>
      <c r="H39" s="914"/>
      <c r="I39" s="914"/>
      <c r="J39" s="201"/>
      <c r="K39" s="637"/>
      <c r="L39" s="639"/>
      <c r="M39" s="639"/>
      <c r="N39" s="639"/>
      <c r="O39" s="639"/>
      <c r="P39" s="638"/>
      <c r="Q39" s="201" t="str">
        <f t="shared" si="1"/>
        <v/>
      </c>
      <c r="R39" s="201" t="str">
        <f t="shared" si="2"/>
        <v/>
      </c>
      <c r="T39" t="str">
        <f t="shared" si="3"/>
        <v/>
      </c>
      <c r="U39" t="str">
        <f t="shared" si="4"/>
        <v/>
      </c>
      <c r="V39" t="str">
        <f t="shared" si="5"/>
        <v/>
      </c>
      <c r="W39" t="str">
        <f t="shared" si="6"/>
        <v/>
      </c>
      <c r="X39" t="str">
        <f t="shared" si="7"/>
        <v/>
      </c>
      <c r="Y39" t="str">
        <f t="shared" si="8"/>
        <v/>
      </c>
      <c r="Z39" s="15">
        <f t="shared" si="9"/>
        <v>0</v>
      </c>
    </row>
    <row r="40" spans="1:26">
      <c r="A40" s="928"/>
      <c r="B40" s="929"/>
      <c r="C40" s="929"/>
      <c r="D40" s="929"/>
      <c r="E40" s="930"/>
      <c r="F40" s="637"/>
      <c r="G40" s="638"/>
      <c r="H40" s="914"/>
      <c r="I40" s="914"/>
      <c r="J40" s="201"/>
      <c r="K40" s="637"/>
      <c r="L40" s="639"/>
      <c r="M40" s="639"/>
      <c r="N40" s="639"/>
      <c r="O40" s="639"/>
      <c r="P40" s="638"/>
      <c r="Q40" s="201" t="str">
        <f t="shared" si="1"/>
        <v/>
      </c>
      <c r="R40" s="201" t="str">
        <f t="shared" si="2"/>
        <v/>
      </c>
      <c r="T40" t="str">
        <f t="shared" si="3"/>
        <v/>
      </c>
      <c r="U40" t="str">
        <f t="shared" si="4"/>
        <v/>
      </c>
      <c r="V40" t="str">
        <f t="shared" si="5"/>
        <v/>
      </c>
      <c r="W40" t="str">
        <f t="shared" si="6"/>
        <v/>
      </c>
      <c r="X40" t="str">
        <f t="shared" si="7"/>
        <v/>
      </c>
      <c r="Y40" t="str">
        <f t="shared" si="8"/>
        <v/>
      </c>
      <c r="Z40" s="15">
        <f t="shared" si="9"/>
        <v>0</v>
      </c>
    </row>
    <row r="41" spans="1:26">
      <c r="A41" s="928"/>
      <c r="B41" s="929"/>
      <c r="C41" s="929"/>
      <c r="D41" s="929"/>
      <c r="E41" s="930"/>
      <c r="F41" s="637"/>
      <c r="G41" s="638"/>
      <c r="H41" s="914"/>
      <c r="I41" s="914"/>
      <c r="J41" s="201"/>
      <c r="K41" s="637"/>
      <c r="L41" s="639"/>
      <c r="M41" s="639"/>
      <c r="N41" s="639"/>
      <c r="O41" s="639"/>
      <c r="P41" s="638"/>
      <c r="Q41" s="201" t="str">
        <f t="shared" si="1"/>
        <v/>
      </c>
      <c r="R41" s="201" t="str">
        <f t="shared" si="2"/>
        <v/>
      </c>
      <c r="T41" t="str">
        <f t="shared" si="3"/>
        <v/>
      </c>
      <c r="U41" t="str">
        <f t="shared" si="4"/>
        <v/>
      </c>
      <c r="V41" t="str">
        <f t="shared" si="5"/>
        <v/>
      </c>
      <c r="W41" t="str">
        <f t="shared" si="6"/>
        <v/>
      </c>
      <c r="X41" t="str">
        <f t="shared" si="7"/>
        <v/>
      </c>
      <c r="Y41" t="str">
        <f t="shared" si="8"/>
        <v/>
      </c>
      <c r="Z41" s="15">
        <f t="shared" si="9"/>
        <v>0</v>
      </c>
    </row>
    <row r="42" spans="1:26">
      <c r="A42" s="928"/>
      <c r="B42" s="929"/>
      <c r="C42" s="929"/>
      <c r="D42" s="929"/>
      <c r="E42" s="930"/>
      <c r="F42" s="637"/>
      <c r="G42" s="638"/>
      <c r="H42" s="914"/>
      <c r="I42" s="914"/>
      <c r="J42" s="201"/>
      <c r="K42" s="637"/>
      <c r="L42" s="639"/>
      <c r="M42" s="639"/>
      <c r="N42" s="639"/>
      <c r="O42" s="639"/>
      <c r="P42" s="638"/>
      <c r="Q42" s="201" t="str">
        <f t="shared" si="1"/>
        <v/>
      </c>
      <c r="R42" s="201" t="str">
        <f t="shared" si="2"/>
        <v/>
      </c>
      <c r="T42" t="str">
        <f t="shared" si="3"/>
        <v/>
      </c>
      <c r="U42" t="str">
        <f t="shared" si="4"/>
        <v/>
      </c>
      <c r="V42" t="str">
        <f t="shared" si="5"/>
        <v/>
      </c>
      <c r="W42" t="str">
        <f t="shared" si="6"/>
        <v/>
      </c>
      <c r="X42" t="str">
        <f t="shared" si="7"/>
        <v/>
      </c>
      <c r="Y42" t="str">
        <f t="shared" si="8"/>
        <v/>
      </c>
      <c r="Z42" s="15">
        <f t="shared" si="9"/>
        <v>0</v>
      </c>
    </row>
    <row r="43" spans="1:26">
      <c r="A43" s="928"/>
      <c r="B43" s="929"/>
      <c r="C43" s="929"/>
      <c r="D43" s="929"/>
      <c r="E43" s="930"/>
      <c r="F43" s="637"/>
      <c r="G43" s="638"/>
      <c r="H43" s="914"/>
      <c r="I43" s="914"/>
      <c r="J43" s="201"/>
      <c r="K43" s="637"/>
      <c r="L43" s="639"/>
      <c r="M43" s="639"/>
      <c r="N43" s="639"/>
      <c r="O43" s="639"/>
      <c r="P43" s="638"/>
      <c r="Q43" s="201" t="str">
        <f t="shared" si="1"/>
        <v/>
      </c>
      <c r="R43" s="201" t="str">
        <f t="shared" si="2"/>
        <v/>
      </c>
      <c r="T43" t="str">
        <f t="shared" si="3"/>
        <v/>
      </c>
      <c r="U43" t="str">
        <f t="shared" si="4"/>
        <v/>
      </c>
      <c r="V43" t="str">
        <f t="shared" si="5"/>
        <v/>
      </c>
      <c r="W43" t="str">
        <f t="shared" si="6"/>
        <v/>
      </c>
      <c r="X43" t="str">
        <f t="shared" si="7"/>
        <v/>
      </c>
      <c r="Y43" t="str">
        <f t="shared" si="8"/>
        <v/>
      </c>
      <c r="Z43" s="15">
        <f t="shared" si="9"/>
        <v>0</v>
      </c>
    </row>
    <row r="44" spans="1:26">
      <c r="A44" s="928"/>
      <c r="B44" s="929"/>
      <c r="C44" s="929"/>
      <c r="D44" s="929"/>
      <c r="E44" s="930"/>
      <c r="F44" s="637"/>
      <c r="G44" s="638"/>
      <c r="H44" s="914"/>
      <c r="I44" s="914"/>
      <c r="J44" s="201"/>
      <c r="K44" s="637"/>
      <c r="L44" s="639"/>
      <c r="M44" s="639"/>
      <c r="N44" s="639"/>
      <c r="O44" s="639"/>
      <c r="P44" s="638"/>
      <c r="Q44" s="201" t="str">
        <f t="shared" si="1"/>
        <v/>
      </c>
      <c r="R44" s="201" t="str">
        <f t="shared" si="2"/>
        <v/>
      </c>
      <c r="T44" t="str">
        <f t="shared" si="3"/>
        <v/>
      </c>
      <c r="U44" t="str">
        <f t="shared" si="4"/>
        <v/>
      </c>
      <c r="V44" t="str">
        <f t="shared" si="5"/>
        <v/>
      </c>
      <c r="W44" t="str">
        <f t="shared" si="6"/>
        <v/>
      </c>
      <c r="X44" t="str">
        <f t="shared" si="7"/>
        <v/>
      </c>
      <c r="Y44" t="str">
        <f t="shared" si="8"/>
        <v/>
      </c>
      <c r="Z44" s="15">
        <f t="shared" si="9"/>
        <v>0</v>
      </c>
    </row>
    <row r="45" spans="1:26">
      <c r="A45" s="928"/>
      <c r="B45" s="929"/>
      <c r="C45" s="929"/>
      <c r="D45" s="929"/>
      <c r="E45" s="930"/>
      <c r="F45" s="637"/>
      <c r="G45" s="638"/>
      <c r="H45" s="914"/>
      <c r="I45" s="914"/>
      <c r="J45" s="201"/>
      <c r="K45" s="637"/>
      <c r="L45" s="639"/>
      <c r="M45" s="639"/>
      <c r="N45" s="639"/>
      <c r="O45" s="639"/>
      <c r="P45" s="638"/>
      <c r="Q45" s="201" t="str">
        <f t="shared" si="1"/>
        <v/>
      </c>
      <c r="R45" s="201" t="str">
        <f t="shared" si="2"/>
        <v/>
      </c>
      <c r="T45" t="str">
        <f t="shared" si="3"/>
        <v/>
      </c>
      <c r="U45" t="str">
        <f t="shared" si="4"/>
        <v/>
      </c>
      <c r="V45" t="str">
        <f t="shared" si="5"/>
        <v/>
      </c>
      <c r="W45" t="str">
        <f t="shared" si="6"/>
        <v/>
      </c>
      <c r="X45" t="str">
        <f t="shared" si="7"/>
        <v/>
      </c>
      <c r="Y45" t="str">
        <f t="shared" si="8"/>
        <v/>
      </c>
      <c r="Z45" s="15">
        <f t="shared" si="9"/>
        <v>0</v>
      </c>
    </row>
    <row r="46" spans="1:26">
      <c r="A46" s="928"/>
      <c r="B46" s="929"/>
      <c r="C46" s="929"/>
      <c r="D46" s="929"/>
      <c r="E46" s="930"/>
      <c r="F46" s="637"/>
      <c r="G46" s="638"/>
      <c r="H46" s="914"/>
      <c r="I46" s="914"/>
      <c r="J46" s="201"/>
      <c r="K46" s="637"/>
      <c r="L46" s="639"/>
      <c r="M46" s="639"/>
      <c r="N46" s="639"/>
      <c r="O46" s="639"/>
      <c r="P46" s="638"/>
      <c r="Q46" s="201" t="str">
        <f t="shared" si="1"/>
        <v/>
      </c>
      <c r="R46" s="201" t="str">
        <f t="shared" si="2"/>
        <v/>
      </c>
      <c r="T46" t="str">
        <f t="shared" si="3"/>
        <v/>
      </c>
      <c r="U46" t="str">
        <f t="shared" si="4"/>
        <v/>
      </c>
      <c r="V46" t="str">
        <f t="shared" si="5"/>
        <v/>
      </c>
      <c r="W46" t="str">
        <f t="shared" si="6"/>
        <v/>
      </c>
      <c r="X46" t="str">
        <f t="shared" si="7"/>
        <v/>
      </c>
      <c r="Y46" t="str">
        <f t="shared" si="8"/>
        <v/>
      </c>
      <c r="Z46" s="15">
        <f t="shared" si="9"/>
        <v>0</v>
      </c>
    </row>
    <row r="47" spans="1:26">
      <c r="A47" s="928"/>
      <c r="B47" s="929"/>
      <c r="C47" s="929"/>
      <c r="D47" s="929"/>
      <c r="E47" s="930"/>
      <c r="F47" s="637"/>
      <c r="G47" s="638"/>
      <c r="H47" s="914"/>
      <c r="I47" s="914"/>
      <c r="J47" s="201"/>
      <c r="K47" s="637"/>
      <c r="L47" s="639"/>
      <c r="M47" s="639"/>
      <c r="N47" s="639"/>
      <c r="O47" s="639"/>
      <c r="P47" s="638"/>
      <c r="Q47" s="201" t="str">
        <f t="shared" si="1"/>
        <v/>
      </c>
      <c r="R47" s="201" t="str">
        <f t="shared" si="2"/>
        <v/>
      </c>
      <c r="T47" t="str">
        <f t="shared" si="3"/>
        <v/>
      </c>
      <c r="U47" t="str">
        <f t="shared" si="4"/>
        <v/>
      </c>
      <c r="V47" t="str">
        <f t="shared" si="5"/>
        <v/>
      </c>
      <c r="W47" t="str">
        <f t="shared" si="6"/>
        <v/>
      </c>
      <c r="X47" t="str">
        <f t="shared" si="7"/>
        <v/>
      </c>
      <c r="Y47" t="str">
        <f t="shared" si="8"/>
        <v/>
      </c>
      <c r="Z47" s="15">
        <f t="shared" si="9"/>
        <v>0</v>
      </c>
    </row>
    <row r="48" spans="1:26">
      <c r="A48" s="928"/>
      <c r="B48" s="929"/>
      <c r="C48" s="929"/>
      <c r="D48" s="929"/>
      <c r="E48" s="930"/>
      <c r="F48" s="637"/>
      <c r="G48" s="638"/>
      <c r="H48" s="914"/>
      <c r="I48" s="914"/>
      <c r="J48" s="201"/>
      <c r="K48" s="637"/>
      <c r="L48" s="639"/>
      <c r="M48" s="639"/>
      <c r="N48" s="639"/>
      <c r="O48" s="639"/>
      <c r="P48" s="638"/>
      <c r="Q48" s="201" t="str">
        <f t="shared" si="1"/>
        <v/>
      </c>
      <c r="R48" s="201" t="str">
        <f t="shared" si="2"/>
        <v/>
      </c>
      <c r="T48" t="str">
        <f t="shared" si="3"/>
        <v/>
      </c>
      <c r="U48" t="str">
        <f t="shared" si="4"/>
        <v/>
      </c>
      <c r="V48" t="str">
        <f t="shared" si="5"/>
        <v/>
      </c>
      <c r="W48" t="str">
        <f t="shared" si="6"/>
        <v/>
      </c>
      <c r="X48" t="str">
        <f t="shared" si="7"/>
        <v/>
      </c>
      <c r="Y48" t="str">
        <f t="shared" si="8"/>
        <v/>
      </c>
      <c r="Z48" s="15">
        <f t="shared" si="9"/>
        <v>0</v>
      </c>
    </row>
    <row r="49" spans="7:18" ht="7.5" customHeight="1"/>
    <row r="50" spans="7:18">
      <c r="G50" s="918" t="s">
        <v>371</v>
      </c>
      <c r="H50" s="919"/>
      <c r="I50" s="919"/>
      <c r="J50" s="919"/>
      <c r="K50" s="919"/>
      <c r="L50" s="919"/>
      <c r="M50" s="919"/>
      <c r="N50" s="919"/>
      <c r="O50" s="919"/>
      <c r="P50" s="919"/>
      <c r="Q50" s="919"/>
      <c r="R50" s="920"/>
    </row>
    <row r="51" spans="7:18" ht="6" customHeight="1"/>
    <row r="52" spans="7:18">
      <c r="H52" s="5"/>
      <c r="I52" s="917" t="s">
        <v>562</v>
      </c>
      <c r="J52" s="917"/>
      <c r="K52" s="189"/>
      <c r="L52" s="189"/>
      <c r="M52" s="190" t="s">
        <v>24</v>
      </c>
      <c r="N52" s="190"/>
      <c r="O52" s="189"/>
      <c r="P52" s="189"/>
      <c r="Q52" s="190" t="s">
        <v>563</v>
      </c>
      <c r="R52" s="7"/>
    </row>
    <row r="53" spans="7:18">
      <c r="H53" s="107"/>
      <c r="I53" s="103"/>
      <c r="J53" s="103"/>
      <c r="K53" s="103"/>
      <c r="L53" s="103"/>
      <c r="M53" s="103"/>
      <c r="N53" s="103"/>
      <c r="O53" s="103"/>
      <c r="P53" s="103"/>
      <c r="Q53" s="103"/>
      <c r="R53" s="105"/>
    </row>
  </sheetData>
  <sheetProtection selectLockedCells="1"/>
  <mergeCells count="100">
    <mergeCell ref="A45:E45"/>
    <mergeCell ref="H44:I44"/>
    <mergeCell ref="A6:C6"/>
    <mergeCell ref="A40:E40"/>
    <mergeCell ref="A35:E35"/>
    <mergeCell ref="H34:I34"/>
    <mergeCell ref="H35:I35"/>
    <mergeCell ref="A36:E36"/>
    <mergeCell ref="A37:E37"/>
    <mergeCell ref="H36:I36"/>
    <mergeCell ref="H37:I37"/>
    <mergeCell ref="A32:E32"/>
    <mergeCell ref="A33:E33"/>
    <mergeCell ref="H32:I32"/>
    <mergeCell ref="H33:I33"/>
    <mergeCell ref="A34:E34"/>
    <mergeCell ref="A4:C4"/>
    <mergeCell ref="A5:C5"/>
    <mergeCell ref="G50:R50"/>
    <mergeCell ref="A41:E41"/>
    <mergeCell ref="H40:I40"/>
    <mergeCell ref="H41:I41"/>
    <mergeCell ref="A42:E42"/>
    <mergeCell ref="A43:E43"/>
    <mergeCell ref="H42:I42"/>
    <mergeCell ref="H43:I43"/>
    <mergeCell ref="A38:E38"/>
    <mergeCell ref="A39:E39"/>
    <mergeCell ref="H38:I38"/>
    <mergeCell ref="H39:I39"/>
    <mergeCell ref="H45:I45"/>
    <mergeCell ref="A44:E44"/>
    <mergeCell ref="I52:J52"/>
    <mergeCell ref="H48:I48"/>
    <mergeCell ref="H47:I47"/>
    <mergeCell ref="A46:E46"/>
    <mergeCell ref="A47:E47"/>
    <mergeCell ref="H46:I46"/>
    <mergeCell ref="A48:E48"/>
    <mergeCell ref="A31:E31"/>
    <mergeCell ref="H31:I31"/>
    <mergeCell ref="A27:E27"/>
    <mergeCell ref="A28:E28"/>
    <mergeCell ref="H27:I27"/>
    <mergeCell ref="H28:I28"/>
    <mergeCell ref="A29:E29"/>
    <mergeCell ref="A30:E30"/>
    <mergeCell ref="H29:I29"/>
    <mergeCell ref="H30:I30"/>
    <mergeCell ref="A24:E24"/>
    <mergeCell ref="H23:I23"/>
    <mergeCell ref="H24:I24"/>
    <mergeCell ref="A25:E25"/>
    <mergeCell ref="A26:E26"/>
    <mergeCell ref="H25:I25"/>
    <mergeCell ref="H26:I26"/>
    <mergeCell ref="A21:E21"/>
    <mergeCell ref="A22:E22"/>
    <mergeCell ref="H21:I21"/>
    <mergeCell ref="H22:I22"/>
    <mergeCell ref="A23:E23"/>
    <mergeCell ref="A18:E18"/>
    <mergeCell ref="H17:I17"/>
    <mergeCell ref="H18:I18"/>
    <mergeCell ref="A19:E19"/>
    <mergeCell ref="A20:E20"/>
    <mergeCell ref="H19:I19"/>
    <mergeCell ref="H20:I20"/>
    <mergeCell ref="A15:E15"/>
    <mergeCell ref="A16:E16"/>
    <mergeCell ref="H15:I15"/>
    <mergeCell ref="H16:I16"/>
    <mergeCell ref="A17:E17"/>
    <mergeCell ref="A12:E12"/>
    <mergeCell ref="H11:I11"/>
    <mergeCell ref="H12:I12"/>
    <mergeCell ref="A13:E13"/>
    <mergeCell ref="A14:E14"/>
    <mergeCell ref="H13:I13"/>
    <mergeCell ref="H14:I14"/>
    <mergeCell ref="K9:P10"/>
    <mergeCell ref="Q9:Q10"/>
    <mergeCell ref="R9:R10"/>
    <mergeCell ref="A11:E11"/>
    <mergeCell ref="F9:G10"/>
    <mergeCell ref="H9:I10"/>
    <mergeCell ref="A9:E10"/>
    <mergeCell ref="J9:J10"/>
    <mergeCell ref="M8:R8"/>
    <mergeCell ref="O6:R6"/>
    <mergeCell ref="O7:R7"/>
    <mergeCell ref="D4:I4"/>
    <mergeCell ref="L5:R5"/>
    <mergeCell ref="H7:I7"/>
    <mergeCell ref="J5:K5"/>
    <mergeCell ref="J6:N6"/>
    <mergeCell ref="J4:L4"/>
    <mergeCell ref="M4:R4"/>
    <mergeCell ref="D5:F5"/>
    <mergeCell ref="D6:I6"/>
  </mergeCells>
  <phoneticPr fontId="27" type="noConversion"/>
  <pageMargins left="0.5" right="0.5" top="0.77083333333333337" bottom="0.75" header="0.5" footer="0.5"/>
  <pageSetup orientation="portrait" horizontalDpi="300" verticalDpi="1200" r:id="rId1"/>
  <headerFooter>
    <oddHeader>&amp;L&amp;G&amp;C&amp;"Arial,Bold"&amp;14             PRODUCTION PART APPROVAL</oddHeader>
    <oddFooter>&amp;C&amp;F</oddFooter>
  </headerFooter>
  <ignoredErrors>
    <ignoredError sqref="Q11:R31 Q32:R48" unlockedFormula="1"/>
  </ignoredErrors>
  <legacyDrawing r:id="rId2"/>
  <legacyDrawingHF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dimension ref="A1:IN53"/>
  <sheetViews>
    <sheetView showGridLines="0" showRowColHeaders="0" view="pageLayout" zoomScaleNormal="100" workbookViewId="0">
      <selection activeCell="R2" sqref="R2"/>
    </sheetView>
  </sheetViews>
  <sheetFormatPr defaultRowHeight="12.75"/>
  <cols>
    <col min="1" max="6" width="4.5703125" customWidth="1"/>
    <col min="7" max="8" width="6.28515625" customWidth="1"/>
    <col min="9" max="10" width="4.140625" customWidth="1"/>
    <col min="11" max="12" width="4" customWidth="1"/>
    <col min="13" max="20" width="5" customWidth="1"/>
    <col min="21" max="21" width="0.7109375" customWidth="1"/>
    <col min="22" max="248" width="9.140625" hidden="1" customWidth="1"/>
  </cols>
  <sheetData>
    <row r="1" spans="1:28" ht="38.450000000000003" customHeight="1">
      <c r="H1" s="14"/>
    </row>
    <row r="2" spans="1:28" ht="18">
      <c r="A2" s="203"/>
      <c r="B2" s="203"/>
      <c r="C2" s="203"/>
      <c r="H2" s="577" t="s">
        <v>26</v>
      </c>
    </row>
    <row r="3" spans="1:28" ht="6.75" customHeight="1">
      <c r="A3" s="204"/>
      <c r="B3" s="204"/>
      <c r="C3" s="204"/>
    </row>
    <row r="4" spans="1:28">
      <c r="A4" s="886" t="s">
        <v>823</v>
      </c>
      <c r="B4" s="937"/>
      <c r="C4" s="937"/>
      <c r="D4" s="921">
        <f>'Header Info'!C11</f>
        <v>0</v>
      </c>
      <c r="E4" s="921"/>
      <c r="F4" s="921"/>
      <c r="G4" s="921"/>
      <c r="H4" s="921"/>
      <c r="I4" s="921"/>
      <c r="J4" s="922"/>
      <c r="K4" s="886" t="s">
        <v>565</v>
      </c>
      <c r="L4" s="887"/>
      <c r="M4" s="887"/>
      <c r="N4" s="887"/>
      <c r="O4" s="921">
        <f>'Header Info'!C7</f>
        <v>0</v>
      </c>
      <c r="P4" s="921"/>
      <c r="Q4" s="921"/>
      <c r="R4" s="921"/>
      <c r="S4" s="921"/>
      <c r="T4" s="922"/>
    </row>
    <row r="5" spans="1:28">
      <c r="A5" s="907" t="s">
        <v>824</v>
      </c>
      <c r="B5" s="938"/>
      <c r="C5" s="938"/>
      <c r="D5" s="900">
        <f>'Header Info'!C12</f>
        <v>0</v>
      </c>
      <c r="E5" s="900"/>
      <c r="F5" s="900"/>
      <c r="G5" s="578"/>
      <c r="H5" s="578"/>
      <c r="I5" s="578"/>
      <c r="J5" s="579"/>
      <c r="K5" s="907" t="s">
        <v>133</v>
      </c>
      <c r="L5" s="906"/>
      <c r="M5" s="906"/>
      <c r="N5" s="900">
        <f>'Header Info'!C6</f>
        <v>0</v>
      </c>
      <c r="O5" s="900"/>
      <c r="P5" s="900"/>
      <c r="Q5" s="900"/>
      <c r="R5" s="900"/>
      <c r="S5" s="900"/>
      <c r="T5" s="912"/>
    </row>
    <row r="6" spans="1:28">
      <c r="A6" s="905" t="s">
        <v>375</v>
      </c>
      <c r="B6" s="906"/>
      <c r="C6" s="906"/>
      <c r="D6" s="906"/>
      <c r="E6" s="921"/>
      <c r="F6" s="921"/>
      <c r="G6" s="900"/>
      <c r="H6" s="900"/>
      <c r="I6" s="900"/>
      <c r="J6" s="912"/>
      <c r="K6" s="907" t="s">
        <v>826</v>
      </c>
      <c r="L6" s="938"/>
      <c r="M6" s="938"/>
      <c r="N6" s="938"/>
      <c r="O6" s="938"/>
      <c r="P6" s="921">
        <f>'Header Info'!C9</f>
        <v>0</v>
      </c>
      <c r="Q6" s="921"/>
      <c r="R6" s="921"/>
      <c r="S6" s="921"/>
      <c r="T6" s="922"/>
    </row>
    <row r="7" spans="1:28">
      <c r="A7" s="187" t="s">
        <v>373</v>
      </c>
      <c r="I7" s="939"/>
      <c r="J7" s="940"/>
      <c r="K7" s="187" t="s">
        <v>370</v>
      </c>
      <c r="Q7" s="900"/>
      <c r="R7" s="900"/>
      <c r="S7" s="900"/>
      <c r="T7" s="912"/>
    </row>
    <row r="8" spans="1:28">
      <c r="A8" s="191" t="s">
        <v>374</v>
      </c>
      <c r="B8" s="1"/>
      <c r="C8" s="1"/>
      <c r="D8" s="1"/>
      <c r="E8" s="1"/>
      <c r="F8" s="1"/>
      <c r="G8" s="1"/>
      <c r="H8" s="1"/>
      <c r="I8" s="1"/>
      <c r="J8" s="11"/>
      <c r="K8" s="202"/>
      <c r="L8" s="103"/>
      <c r="M8" s="103"/>
      <c r="N8" s="103"/>
      <c r="O8" s="103"/>
      <c r="P8" s="103"/>
      <c r="Q8" s="103"/>
      <c r="R8" s="103"/>
      <c r="S8" s="103"/>
      <c r="T8" s="105"/>
      <c r="V8" s="185" t="s">
        <v>569</v>
      </c>
    </row>
    <row r="9" spans="1:28" ht="12.75" customHeight="1">
      <c r="A9" s="931" t="s">
        <v>377</v>
      </c>
      <c r="B9" s="932"/>
      <c r="C9" s="932"/>
      <c r="D9" s="932"/>
      <c r="E9" s="932"/>
      <c r="F9" s="933"/>
      <c r="G9" s="911" t="s">
        <v>363</v>
      </c>
      <c r="H9" s="911"/>
      <c r="I9" s="911" t="s">
        <v>364</v>
      </c>
      <c r="J9" s="911"/>
      <c r="K9" s="911" t="s">
        <v>365</v>
      </c>
      <c r="L9" s="911"/>
      <c r="M9" s="911" t="s">
        <v>378</v>
      </c>
      <c r="N9" s="911"/>
      <c r="O9" s="911"/>
      <c r="P9" s="911"/>
      <c r="Q9" s="911"/>
      <c r="R9" s="911"/>
      <c r="S9" s="911" t="s">
        <v>23</v>
      </c>
      <c r="T9" s="911" t="s">
        <v>367</v>
      </c>
      <c r="V9" t="s">
        <v>156</v>
      </c>
    </row>
    <row r="10" spans="1:28">
      <c r="A10" s="934"/>
      <c r="B10" s="935"/>
      <c r="C10" s="935"/>
      <c r="D10" s="935"/>
      <c r="E10" s="935"/>
      <c r="F10" s="936"/>
      <c r="G10" s="911"/>
      <c r="H10" s="911"/>
      <c r="I10" s="911"/>
      <c r="J10" s="911"/>
      <c r="K10" s="911"/>
      <c r="L10" s="911"/>
      <c r="M10" s="911"/>
      <c r="N10" s="911"/>
      <c r="O10" s="911"/>
      <c r="P10" s="911"/>
      <c r="Q10" s="911"/>
      <c r="R10" s="911"/>
      <c r="S10" s="911"/>
      <c r="T10" s="911"/>
      <c r="V10" t="s">
        <v>157</v>
      </c>
    </row>
    <row r="11" spans="1:28">
      <c r="A11" s="942"/>
      <c r="B11" s="909"/>
      <c r="C11" s="909"/>
      <c r="D11" s="909"/>
      <c r="E11" s="909"/>
      <c r="F11" s="910"/>
      <c r="G11" s="637"/>
      <c r="H11" s="638"/>
      <c r="I11" s="914"/>
      <c r="J11" s="941"/>
      <c r="K11" s="915"/>
      <c r="L11" s="915"/>
      <c r="M11" s="637"/>
      <c r="N11" s="639"/>
      <c r="O11" s="639"/>
      <c r="P11" s="639"/>
      <c r="Q11" s="639"/>
      <c r="R11" s="638"/>
      <c r="S11" s="201" t="str">
        <f t="shared" ref="S11:S48" si="0">IF(M11="","",IF(AB11&gt;0,"","X"))</f>
        <v/>
      </c>
      <c r="T11" s="201" t="str">
        <f t="shared" ref="T11:T48" si="1">IF(M11="","",IF(AB11&gt;0,"X",""))</f>
        <v/>
      </c>
      <c r="V11" t="str">
        <f t="shared" ref="V11:V48" si="2">IF(M11="","",IF(AND($G11="n/a",M11&lt;=$H11),"OK",IF(AND($H11="n/a",M11&gt;=$G11),"OK",IF(AND(M11&gt;=$G11,M11&lt;=$H11),"OK","NOT OK"))))</f>
        <v/>
      </c>
      <c r="W11" t="str">
        <f t="shared" ref="W11:AA12" si="3">IF(N11="","",IF(AND($G11="n/a",N11&lt;=$H11),"OK",IF(AND($H11="n/a",N11&gt;=$G11),"OK",IF(AND(N11&gt;=$G11,N11&lt;=$H11),"OK","NOT OK"))))</f>
        <v/>
      </c>
      <c r="X11" t="str">
        <f t="shared" si="3"/>
        <v/>
      </c>
      <c r="Y11" t="str">
        <f t="shared" si="3"/>
        <v/>
      </c>
      <c r="Z11" t="str">
        <f t="shared" si="3"/>
        <v/>
      </c>
      <c r="AA11" t="str">
        <f t="shared" si="3"/>
        <v/>
      </c>
      <c r="AB11" s="15">
        <f t="shared" ref="AB11:AB48" si="4">COUNTIF(V11:AA11,"NOT OK")</f>
        <v>0</v>
      </c>
    </row>
    <row r="12" spans="1:28">
      <c r="A12" s="942"/>
      <c r="B12" s="909"/>
      <c r="C12" s="909"/>
      <c r="D12" s="909"/>
      <c r="E12" s="909"/>
      <c r="F12" s="910"/>
      <c r="G12" s="637"/>
      <c r="H12" s="638"/>
      <c r="I12" s="914"/>
      <c r="J12" s="941"/>
      <c r="K12" s="915"/>
      <c r="L12" s="915"/>
      <c r="M12" s="637"/>
      <c r="N12" s="639"/>
      <c r="O12" s="639"/>
      <c r="P12" s="639"/>
      <c r="Q12" s="639"/>
      <c r="R12" s="638"/>
      <c r="S12" s="201" t="str">
        <f t="shared" si="0"/>
        <v/>
      </c>
      <c r="T12" s="201" t="str">
        <f t="shared" si="1"/>
        <v/>
      </c>
      <c r="V12" t="str">
        <f t="shared" si="2"/>
        <v/>
      </c>
      <c r="W12" t="str">
        <f t="shared" si="3"/>
        <v/>
      </c>
      <c r="X12" t="str">
        <f t="shared" si="3"/>
        <v/>
      </c>
      <c r="Y12" t="str">
        <f t="shared" si="3"/>
        <v/>
      </c>
      <c r="Z12" t="str">
        <f t="shared" si="3"/>
        <v/>
      </c>
      <c r="AA12" t="str">
        <f t="shared" si="3"/>
        <v/>
      </c>
      <c r="AB12" s="15">
        <f t="shared" si="4"/>
        <v>0</v>
      </c>
    </row>
    <row r="13" spans="1:28">
      <c r="A13" s="942"/>
      <c r="B13" s="909"/>
      <c r="C13" s="909"/>
      <c r="D13" s="909"/>
      <c r="E13" s="909"/>
      <c r="F13" s="910"/>
      <c r="G13" s="637"/>
      <c r="H13" s="638"/>
      <c r="I13" s="941"/>
      <c r="J13" s="941"/>
      <c r="K13" s="915"/>
      <c r="L13" s="915"/>
      <c r="M13" s="637"/>
      <c r="N13" s="639"/>
      <c r="O13" s="639"/>
      <c r="P13" s="639"/>
      <c r="Q13" s="639"/>
      <c r="R13" s="638"/>
      <c r="S13" s="201" t="str">
        <f t="shared" si="0"/>
        <v/>
      </c>
      <c r="T13" s="201" t="str">
        <f t="shared" si="1"/>
        <v/>
      </c>
      <c r="V13" t="str">
        <f t="shared" si="2"/>
        <v/>
      </c>
      <c r="W13" t="str">
        <f t="shared" ref="W13:AA17" si="5">IF(N13="","",IF(AND($G13="n/a",N13&lt;=$H13),"OK",IF(AND($H13="n/a",N13&gt;=$G13),"OK",IF(AND(N13&gt;=$G13,N13&lt;=$H13),"OK","NOT OK"))))</f>
        <v/>
      </c>
      <c r="X13" t="str">
        <f t="shared" si="5"/>
        <v/>
      </c>
      <c r="Y13" t="str">
        <f t="shared" si="5"/>
        <v/>
      </c>
      <c r="Z13" t="str">
        <f t="shared" si="5"/>
        <v/>
      </c>
      <c r="AA13" t="str">
        <f t="shared" si="5"/>
        <v/>
      </c>
      <c r="AB13" s="15">
        <f t="shared" si="4"/>
        <v>0</v>
      </c>
    </row>
    <row r="14" spans="1:28">
      <c r="A14" s="942"/>
      <c r="B14" s="909"/>
      <c r="C14" s="909"/>
      <c r="D14" s="909"/>
      <c r="E14" s="909"/>
      <c r="F14" s="910"/>
      <c r="G14" s="637"/>
      <c r="H14" s="638"/>
      <c r="I14" s="941"/>
      <c r="J14" s="941"/>
      <c r="K14" s="915"/>
      <c r="L14" s="915"/>
      <c r="M14" s="637"/>
      <c r="N14" s="639"/>
      <c r="O14" s="639"/>
      <c r="P14" s="639"/>
      <c r="Q14" s="639"/>
      <c r="R14" s="638"/>
      <c r="S14" s="201" t="str">
        <f t="shared" si="0"/>
        <v/>
      </c>
      <c r="T14" s="201" t="str">
        <f t="shared" si="1"/>
        <v/>
      </c>
      <c r="V14" t="str">
        <f t="shared" si="2"/>
        <v/>
      </c>
      <c r="W14" t="str">
        <f t="shared" si="5"/>
        <v/>
      </c>
      <c r="X14" t="str">
        <f t="shared" si="5"/>
        <v/>
      </c>
      <c r="Y14" t="str">
        <f t="shared" si="5"/>
        <v/>
      </c>
      <c r="Z14" t="str">
        <f t="shared" si="5"/>
        <v/>
      </c>
      <c r="AA14" t="str">
        <f t="shared" si="5"/>
        <v/>
      </c>
      <c r="AB14" s="15">
        <f t="shared" si="4"/>
        <v>0</v>
      </c>
    </row>
    <row r="15" spans="1:28">
      <c r="A15" s="942"/>
      <c r="B15" s="909"/>
      <c r="C15" s="909"/>
      <c r="D15" s="909"/>
      <c r="E15" s="909"/>
      <c r="F15" s="910"/>
      <c r="G15" s="637"/>
      <c r="H15" s="638"/>
      <c r="I15" s="941"/>
      <c r="J15" s="941"/>
      <c r="K15" s="915"/>
      <c r="L15" s="915"/>
      <c r="M15" s="637"/>
      <c r="N15" s="639"/>
      <c r="O15" s="639"/>
      <c r="P15" s="639"/>
      <c r="Q15" s="639"/>
      <c r="R15" s="638"/>
      <c r="S15" s="201" t="str">
        <f t="shared" si="0"/>
        <v/>
      </c>
      <c r="T15" s="201" t="str">
        <f t="shared" si="1"/>
        <v/>
      </c>
      <c r="V15" t="str">
        <f t="shared" si="2"/>
        <v/>
      </c>
      <c r="W15" t="str">
        <f t="shared" si="5"/>
        <v/>
      </c>
      <c r="X15" t="str">
        <f t="shared" si="5"/>
        <v/>
      </c>
      <c r="Y15" t="str">
        <f t="shared" si="5"/>
        <v/>
      </c>
      <c r="Z15" t="str">
        <f t="shared" si="5"/>
        <v/>
      </c>
      <c r="AA15" t="str">
        <f t="shared" si="5"/>
        <v/>
      </c>
      <c r="AB15" s="15">
        <f t="shared" si="4"/>
        <v>0</v>
      </c>
    </row>
    <row r="16" spans="1:28">
      <c r="A16" s="942"/>
      <c r="B16" s="909"/>
      <c r="C16" s="909"/>
      <c r="D16" s="909"/>
      <c r="E16" s="909"/>
      <c r="F16" s="910"/>
      <c r="G16" s="637"/>
      <c r="H16" s="638"/>
      <c r="I16" s="941"/>
      <c r="J16" s="941"/>
      <c r="K16" s="915"/>
      <c r="L16" s="915"/>
      <c r="M16" s="637"/>
      <c r="N16" s="639"/>
      <c r="O16" s="639"/>
      <c r="P16" s="639"/>
      <c r="Q16" s="639"/>
      <c r="R16" s="638"/>
      <c r="S16" s="201" t="str">
        <f t="shared" si="0"/>
        <v/>
      </c>
      <c r="T16" s="201" t="str">
        <f t="shared" si="1"/>
        <v/>
      </c>
      <c r="V16" t="str">
        <f t="shared" si="2"/>
        <v/>
      </c>
      <c r="W16" t="str">
        <f t="shared" si="5"/>
        <v/>
      </c>
      <c r="X16" t="str">
        <f t="shared" si="5"/>
        <v/>
      </c>
      <c r="Y16" t="str">
        <f t="shared" si="5"/>
        <v/>
      </c>
      <c r="Z16" t="str">
        <f t="shared" si="5"/>
        <v/>
      </c>
      <c r="AA16" t="str">
        <f t="shared" si="5"/>
        <v/>
      </c>
      <c r="AB16" s="15">
        <f t="shared" si="4"/>
        <v>0</v>
      </c>
    </row>
    <row r="17" spans="1:28">
      <c r="A17" s="942"/>
      <c r="B17" s="909"/>
      <c r="C17" s="909"/>
      <c r="D17" s="909"/>
      <c r="E17" s="909"/>
      <c r="F17" s="910"/>
      <c r="G17" s="637"/>
      <c r="H17" s="638"/>
      <c r="I17" s="941"/>
      <c r="J17" s="941"/>
      <c r="K17" s="915"/>
      <c r="L17" s="915"/>
      <c r="M17" s="637"/>
      <c r="N17" s="639"/>
      <c r="O17" s="639"/>
      <c r="P17" s="639"/>
      <c r="Q17" s="639"/>
      <c r="R17" s="638"/>
      <c r="S17" s="201" t="str">
        <f t="shared" si="0"/>
        <v/>
      </c>
      <c r="T17" s="201" t="str">
        <f t="shared" si="1"/>
        <v/>
      </c>
      <c r="V17" t="str">
        <f t="shared" si="2"/>
        <v/>
      </c>
      <c r="W17" t="str">
        <f t="shared" si="5"/>
        <v/>
      </c>
      <c r="X17" t="str">
        <f t="shared" si="5"/>
        <v/>
      </c>
      <c r="Y17" t="str">
        <f t="shared" si="5"/>
        <v/>
      </c>
      <c r="Z17" t="str">
        <f t="shared" si="5"/>
        <v/>
      </c>
      <c r="AA17" t="str">
        <f t="shared" si="5"/>
        <v/>
      </c>
      <c r="AB17" s="15">
        <f t="shared" si="4"/>
        <v>0</v>
      </c>
    </row>
    <row r="18" spans="1:28">
      <c r="A18" s="942"/>
      <c r="B18" s="909"/>
      <c r="C18" s="909"/>
      <c r="D18" s="909"/>
      <c r="E18" s="909"/>
      <c r="F18" s="910"/>
      <c r="G18" s="637"/>
      <c r="H18" s="638"/>
      <c r="I18" s="941"/>
      <c r="J18" s="941"/>
      <c r="K18" s="915"/>
      <c r="L18" s="915"/>
      <c r="M18" s="637"/>
      <c r="N18" s="639"/>
      <c r="O18" s="639"/>
      <c r="P18" s="639"/>
      <c r="Q18" s="639"/>
      <c r="R18" s="638"/>
      <c r="S18" s="201" t="str">
        <f t="shared" si="0"/>
        <v/>
      </c>
      <c r="T18" s="201" t="str">
        <f t="shared" si="1"/>
        <v/>
      </c>
      <c r="V18" t="str">
        <f t="shared" si="2"/>
        <v/>
      </c>
      <c r="W18" t="str">
        <f t="shared" ref="W18:W48" si="6">IF(N18="","",IF(AND($G18="n/a",N18&lt;=$H18),"OK",IF(AND($H18="n/a",N18&gt;=$G18),"OK",IF(AND(N18&gt;=$G18,N18&lt;=$H18),"OK","NOT OK"))))</f>
        <v/>
      </c>
      <c r="X18" t="str">
        <f t="shared" ref="X18:X48" si="7">IF(O18="","",IF(AND($G18="n/a",O18&lt;=$H18),"OK",IF(AND($H18="n/a",O18&gt;=$G18),"OK",IF(AND(O18&gt;=$G18,O18&lt;=$H18),"OK","NOT OK"))))</f>
        <v/>
      </c>
      <c r="Y18" t="str">
        <f t="shared" ref="Y18:Y48" si="8">IF(P18="","",IF(AND($G18="n/a",P18&lt;=$H18),"OK",IF(AND($H18="n/a",P18&gt;=$G18),"OK",IF(AND(P18&gt;=$G18,P18&lt;=$H18),"OK","NOT OK"))))</f>
        <v/>
      </c>
      <c r="Z18" t="str">
        <f t="shared" ref="Z18:Z48" si="9">IF(Q18="","",IF(AND($G18="n/a",Q18&lt;=$H18),"OK",IF(AND($H18="n/a",Q18&gt;=$G18),"OK",IF(AND(Q18&gt;=$G18,Q18&lt;=$H18),"OK","NOT OK"))))</f>
        <v/>
      </c>
      <c r="AA18" t="str">
        <f t="shared" ref="AA18:AA48" si="10">IF(R18="","",IF(AND($G18="n/a",R18&lt;=$H18),"OK",IF(AND($H18="n/a",R18&gt;=$G18),"OK",IF(AND(R18&gt;=$G18,R18&lt;=$H18),"OK","NOT OK"))))</f>
        <v/>
      </c>
      <c r="AB18" s="15">
        <f t="shared" si="4"/>
        <v>0</v>
      </c>
    </row>
    <row r="19" spans="1:28">
      <c r="A19" s="942"/>
      <c r="B19" s="909"/>
      <c r="C19" s="909"/>
      <c r="D19" s="909"/>
      <c r="E19" s="909"/>
      <c r="F19" s="910"/>
      <c r="G19" s="637"/>
      <c r="H19" s="638"/>
      <c r="I19" s="941"/>
      <c r="J19" s="941"/>
      <c r="K19" s="915"/>
      <c r="L19" s="915"/>
      <c r="M19" s="637"/>
      <c r="N19" s="639"/>
      <c r="O19" s="639"/>
      <c r="P19" s="639"/>
      <c r="Q19" s="639"/>
      <c r="R19" s="638"/>
      <c r="S19" s="201" t="str">
        <f t="shared" si="0"/>
        <v/>
      </c>
      <c r="T19" s="201" t="str">
        <f t="shared" si="1"/>
        <v/>
      </c>
      <c r="V19" t="str">
        <f t="shared" si="2"/>
        <v/>
      </c>
      <c r="W19" t="str">
        <f t="shared" si="6"/>
        <v/>
      </c>
      <c r="X19" t="str">
        <f t="shared" si="7"/>
        <v/>
      </c>
      <c r="Y19" t="str">
        <f t="shared" si="8"/>
        <v/>
      </c>
      <c r="Z19" t="str">
        <f t="shared" si="9"/>
        <v/>
      </c>
      <c r="AA19" t="str">
        <f t="shared" si="10"/>
        <v/>
      </c>
      <c r="AB19" s="15">
        <f t="shared" si="4"/>
        <v>0</v>
      </c>
    </row>
    <row r="20" spans="1:28">
      <c r="A20" s="942"/>
      <c r="B20" s="909"/>
      <c r="C20" s="909"/>
      <c r="D20" s="909"/>
      <c r="E20" s="909"/>
      <c r="F20" s="910"/>
      <c r="G20" s="637"/>
      <c r="H20" s="638"/>
      <c r="I20" s="941"/>
      <c r="J20" s="941"/>
      <c r="K20" s="915"/>
      <c r="L20" s="915"/>
      <c r="M20" s="637"/>
      <c r="N20" s="639"/>
      <c r="O20" s="639"/>
      <c r="P20" s="639"/>
      <c r="Q20" s="639"/>
      <c r="R20" s="638"/>
      <c r="S20" s="201" t="str">
        <f t="shared" si="0"/>
        <v/>
      </c>
      <c r="T20" s="201" t="str">
        <f t="shared" si="1"/>
        <v/>
      </c>
      <c r="V20" t="str">
        <f t="shared" si="2"/>
        <v/>
      </c>
      <c r="W20" t="str">
        <f t="shared" si="6"/>
        <v/>
      </c>
      <c r="X20" t="str">
        <f t="shared" si="7"/>
        <v/>
      </c>
      <c r="Y20" t="str">
        <f t="shared" si="8"/>
        <v/>
      </c>
      <c r="Z20" t="str">
        <f t="shared" si="9"/>
        <v/>
      </c>
      <c r="AA20" t="str">
        <f t="shared" si="10"/>
        <v/>
      </c>
      <c r="AB20" s="15">
        <f t="shared" si="4"/>
        <v>0</v>
      </c>
    </row>
    <row r="21" spans="1:28">
      <c r="A21" s="942"/>
      <c r="B21" s="909"/>
      <c r="C21" s="909"/>
      <c r="D21" s="909"/>
      <c r="E21" s="909"/>
      <c r="F21" s="910"/>
      <c r="G21" s="637"/>
      <c r="H21" s="638"/>
      <c r="I21" s="941"/>
      <c r="J21" s="941"/>
      <c r="K21" s="915"/>
      <c r="L21" s="915"/>
      <c r="M21" s="637"/>
      <c r="N21" s="639"/>
      <c r="O21" s="639"/>
      <c r="P21" s="639"/>
      <c r="Q21" s="639"/>
      <c r="R21" s="638"/>
      <c r="S21" s="201" t="str">
        <f t="shared" si="0"/>
        <v/>
      </c>
      <c r="T21" s="201" t="str">
        <f t="shared" si="1"/>
        <v/>
      </c>
      <c r="V21" t="str">
        <f t="shared" si="2"/>
        <v/>
      </c>
      <c r="W21" t="str">
        <f t="shared" si="6"/>
        <v/>
      </c>
      <c r="X21" t="str">
        <f t="shared" si="7"/>
        <v/>
      </c>
      <c r="Y21" t="str">
        <f t="shared" si="8"/>
        <v/>
      </c>
      <c r="Z21" t="str">
        <f t="shared" si="9"/>
        <v/>
      </c>
      <c r="AA21" t="str">
        <f t="shared" si="10"/>
        <v/>
      </c>
      <c r="AB21" s="15">
        <f t="shared" si="4"/>
        <v>0</v>
      </c>
    </row>
    <row r="22" spans="1:28">
      <c r="A22" s="942"/>
      <c r="B22" s="909"/>
      <c r="C22" s="909"/>
      <c r="D22" s="909"/>
      <c r="E22" s="909"/>
      <c r="F22" s="910"/>
      <c r="G22" s="637"/>
      <c r="H22" s="638"/>
      <c r="I22" s="941"/>
      <c r="J22" s="941"/>
      <c r="K22" s="915"/>
      <c r="L22" s="915"/>
      <c r="M22" s="637"/>
      <c r="N22" s="639"/>
      <c r="O22" s="639"/>
      <c r="P22" s="639"/>
      <c r="Q22" s="639"/>
      <c r="R22" s="638"/>
      <c r="S22" s="201" t="str">
        <f t="shared" si="0"/>
        <v/>
      </c>
      <c r="T22" s="201" t="str">
        <f t="shared" si="1"/>
        <v/>
      </c>
      <c r="V22" t="str">
        <f t="shared" si="2"/>
        <v/>
      </c>
      <c r="W22" t="str">
        <f t="shared" si="6"/>
        <v/>
      </c>
      <c r="X22" t="str">
        <f t="shared" si="7"/>
        <v/>
      </c>
      <c r="Y22" t="str">
        <f t="shared" si="8"/>
        <v/>
      </c>
      <c r="Z22" t="str">
        <f t="shared" si="9"/>
        <v/>
      </c>
      <c r="AA22" t="str">
        <f t="shared" si="10"/>
        <v/>
      </c>
      <c r="AB22" s="15">
        <f t="shared" si="4"/>
        <v>0</v>
      </c>
    </row>
    <row r="23" spans="1:28">
      <c r="A23" s="942"/>
      <c r="B23" s="909"/>
      <c r="C23" s="909"/>
      <c r="D23" s="909"/>
      <c r="E23" s="909"/>
      <c r="F23" s="910"/>
      <c r="G23" s="637"/>
      <c r="H23" s="638"/>
      <c r="I23" s="941"/>
      <c r="J23" s="941"/>
      <c r="K23" s="915"/>
      <c r="L23" s="915"/>
      <c r="M23" s="637"/>
      <c r="N23" s="639"/>
      <c r="O23" s="639"/>
      <c r="P23" s="639"/>
      <c r="Q23" s="639"/>
      <c r="R23" s="638"/>
      <c r="S23" s="201" t="str">
        <f t="shared" si="0"/>
        <v/>
      </c>
      <c r="T23" s="201" t="str">
        <f t="shared" si="1"/>
        <v/>
      </c>
      <c r="V23" t="str">
        <f t="shared" si="2"/>
        <v/>
      </c>
      <c r="W23" t="str">
        <f t="shared" si="6"/>
        <v/>
      </c>
      <c r="X23" t="str">
        <f t="shared" si="7"/>
        <v/>
      </c>
      <c r="Y23" t="str">
        <f t="shared" si="8"/>
        <v/>
      </c>
      <c r="Z23" t="str">
        <f t="shared" si="9"/>
        <v/>
      </c>
      <c r="AA23" t="str">
        <f t="shared" si="10"/>
        <v/>
      </c>
      <c r="AB23" s="15">
        <f t="shared" si="4"/>
        <v>0</v>
      </c>
    </row>
    <row r="24" spans="1:28">
      <c r="A24" s="942"/>
      <c r="B24" s="909"/>
      <c r="C24" s="909"/>
      <c r="D24" s="909"/>
      <c r="E24" s="909"/>
      <c r="F24" s="910"/>
      <c r="G24" s="637"/>
      <c r="H24" s="638"/>
      <c r="I24" s="941"/>
      <c r="J24" s="941"/>
      <c r="K24" s="915"/>
      <c r="L24" s="915"/>
      <c r="M24" s="637"/>
      <c r="N24" s="639"/>
      <c r="O24" s="639"/>
      <c r="P24" s="639"/>
      <c r="Q24" s="639"/>
      <c r="R24" s="638"/>
      <c r="S24" s="201" t="str">
        <f t="shared" si="0"/>
        <v/>
      </c>
      <c r="T24" s="201" t="str">
        <f t="shared" si="1"/>
        <v/>
      </c>
      <c r="V24" t="str">
        <f t="shared" si="2"/>
        <v/>
      </c>
      <c r="W24" t="str">
        <f t="shared" si="6"/>
        <v/>
      </c>
      <c r="X24" t="str">
        <f t="shared" si="7"/>
        <v/>
      </c>
      <c r="Y24" t="str">
        <f t="shared" si="8"/>
        <v/>
      </c>
      <c r="Z24" t="str">
        <f t="shared" si="9"/>
        <v/>
      </c>
      <c r="AA24" t="str">
        <f t="shared" si="10"/>
        <v/>
      </c>
      <c r="AB24" s="15">
        <f t="shared" si="4"/>
        <v>0</v>
      </c>
    </row>
    <row r="25" spans="1:28">
      <c r="A25" s="942"/>
      <c r="B25" s="909"/>
      <c r="C25" s="909"/>
      <c r="D25" s="909"/>
      <c r="E25" s="909"/>
      <c r="F25" s="910"/>
      <c r="G25" s="637"/>
      <c r="H25" s="638"/>
      <c r="I25" s="941"/>
      <c r="J25" s="941"/>
      <c r="K25" s="915"/>
      <c r="L25" s="915"/>
      <c r="M25" s="637"/>
      <c r="N25" s="639"/>
      <c r="O25" s="639"/>
      <c r="P25" s="639"/>
      <c r="Q25" s="639"/>
      <c r="R25" s="638"/>
      <c r="S25" s="201" t="str">
        <f t="shared" si="0"/>
        <v/>
      </c>
      <c r="T25" s="201" t="str">
        <f t="shared" si="1"/>
        <v/>
      </c>
      <c r="V25" t="str">
        <f t="shared" si="2"/>
        <v/>
      </c>
      <c r="W25" t="str">
        <f t="shared" si="6"/>
        <v/>
      </c>
      <c r="X25" t="str">
        <f t="shared" si="7"/>
        <v/>
      </c>
      <c r="Y25" t="str">
        <f t="shared" si="8"/>
        <v/>
      </c>
      <c r="Z25" t="str">
        <f t="shared" si="9"/>
        <v/>
      </c>
      <c r="AA25" t="str">
        <f t="shared" si="10"/>
        <v/>
      </c>
      <c r="AB25" s="15">
        <f t="shared" si="4"/>
        <v>0</v>
      </c>
    </row>
    <row r="26" spans="1:28">
      <c r="A26" s="942"/>
      <c r="B26" s="909"/>
      <c r="C26" s="909"/>
      <c r="D26" s="909"/>
      <c r="E26" s="909"/>
      <c r="F26" s="910"/>
      <c r="G26" s="637"/>
      <c r="H26" s="638"/>
      <c r="I26" s="941"/>
      <c r="J26" s="941"/>
      <c r="K26" s="915"/>
      <c r="L26" s="915"/>
      <c r="M26" s="637"/>
      <c r="N26" s="639"/>
      <c r="O26" s="639"/>
      <c r="P26" s="639"/>
      <c r="Q26" s="639"/>
      <c r="R26" s="638"/>
      <c r="S26" s="201" t="str">
        <f t="shared" si="0"/>
        <v/>
      </c>
      <c r="T26" s="201" t="str">
        <f t="shared" si="1"/>
        <v/>
      </c>
      <c r="V26" t="str">
        <f t="shared" si="2"/>
        <v/>
      </c>
      <c r="W26" t="str">
        <f t="shared" si="6"/>
        <v/>
      </c>
      <c r="X26" t="str">
        <f t="shared" si="7"/>
        <v/>
      </c>
      <c r="Y26" t="str">
        <f t="shared" si="8"/>
        <v/>
      </c>
      <c r="Z26" t="str">
        <f t="shared" si="9"/>
        <v/>
      </c>
      <c r="AA26" t="str">
        <f t="shared" si="10"/>
        <v/>
      </c>
      <c r="AB26" s="15">
        <f t="shared" si="4"/>
        <v>0</v>
      </c>
    </row>
    <row r="27" spans="1:28">
      <c r="A27" s="942"/>
      <c r="B27" s="909"/>
      <c r="C27" s="909"/>
      <c r="D27" s="909"/>
      <c r="E27" s="909"/>
      <c r="F27" s="910"/>
      <c r="G27" s="637"/>
      <c r="H27" s="638"/>
      <c r="I27" s="941"/>
      <c r="J27" s="941"/>
      <c r="K27" s="915"/>
      <c r="L27" s="915"/>
      <c r="M27" s="637"/>
      <c r="N27" s="639"/>
      <c r="O27" s="639"/>
      <c r="P27" s="639"/>
      <c r="Q27" s="639"/>
      <c r="R27" s="638"/>
      <c r="S27" s="201" t="str">
        <f t="shared" si="0"/>
        <v/>
      </c>
      <c r="T27" s="201" t="str">
        <f t="shared" si="1"/>
        <v/>
      </c>
      <c r="V27" t="str">
        <f t="shared" si="2"/>
        <v/>
      </c>
      <c r="W27" t="str">
        <f t="shared" si="6"/>
        <v/>
      </c>
      <c r="X27" t="str">
        <f t="shared" si="7"/>
        <v/>
      </c>
      <c r="Y27" t="str">
        <f t="shared" si="8"/>
        <v/>
      </c>
      <c r="Z27" t="str">
        <f t="shared" si="9"/>
        <v/>
      </c>
      <c r="AA27" t="str">
        <f t="shared" si="10"/>
        <v/>
      </c>
      <c r="AB27" s="15">
        <f t="shared" si="4"/>
        <v>0</v>
      </c>
    </row>
    <row r="28" spans="1:28">
      <c r="A28" s="942"/>
      <c r="B28" s="909"/>
      <c r="C28" s="909"/>
      <c r="D28" s="909"/>
      <c r="E28" s="909"/>
      <c r="F28" s="910"/>
      <c r="G28" s="637"/>
      <c r="H28" s="638"/>
      <c r="I28" s="941"/>
      <c r="J28" s="941"/>
      <c r="K28" s="915"/>
      <c r="L28" s="915"/>
      <c r="M28" s="637"/>
      <c r="N28" s="639"/>
      <c r="O28" s="639"/>
      <c r="P28" s="639"/>
      <c r="Q28" s="639"/>
      <c r="R28" s="638"/>
      <c r="S28" s="201" t="str">
        <f t="shared" si="0"/>
        <v/>
      </c>
      <c r="T28" s="201" t="str">
        <f t="shared" si="1"/>
        <v/>
      </c>
      <c r="V28" t="str">
        <f t="shared" si="2"/>
        <v/>
      </c>
      <c r="W28" t="str">
        <f t="shared" si="6"/>
        <v/>
      </c>
      <c r="X28" t="str">
        <f t="shared" si="7"/>
        <v/>
      </c>
      <c r="Y28" t="str">
        <f t="shared" si="8"/>
        <v/>
      </c>
      <c r="Z28" t="str">
        <f t="shared" si="9"/>
        <v/>
      </c>
      <c r="AA28" t="str">
        <f t="shared" si="10"/>
        <v/>
      </c>
      <c r="AB28" s="15">
        <f t="shared" si="4"/>
        <v>0</v>
      </c>
    </row>
    <row r="29" spans="1:28">
      <c r="A29" s="942"/>
      <c r="B29" s="909"/>
      <c r="C29" s="909"/>
      <c r="D29" s="909"/>
      <c r="E29" s="909"/>
      <c r="F29" s="910"/>
      <c r="G29" s="637"/>
      <c r="H29" s="638"/>
      <c r="I29" s="941"/>
      <c r="J29" s="941"/>
      <c r="K29" s="915"/>
      <c r="L29" s="915"/>
      <c r="M29" s="637"/>
      <c r="N29" s="639"/>
      <c r="O29" s="639"/>
      <c r="P29" s="639"/>
      <c r="Q29" s="639"/>
      <c r="R29" s="638"/>
      <c r="S29" s="201" t="str">
        <f t="shared" si="0"/>
        <v/>
      </c>
      <c r="T29" s="201" t="str">
        <f t="shared" si="1"/>
        <v/>
      </c>
      <c r="V29" t="str">
        <f t="shared" si="2"/>
        <v/>
      </c>
      <c r="W29" t="str">
        <f t="shared" si="6"/>
        <v/>
      </c>
      <c r="X29" t="str">
        <f t="shared" si="7"/>
        <v/>
      </c>
      <c r="Y29" t="str">
        <f t="shared" si="8"/>
        <v/>
      </c>
      <c r="Z29" t="str">
        <f t="shared" si="9"/>
        <v/>
      </c>
      <c r="AA29" t="str">
        <f t="shared" si="10"/>
        <v/>
      </c>
      <c r="AB29" s="15">
        <f t="shared" si="4"/>
        <v>0</v>
      </c>
    </row>
    <row r="30" spans="1:28">
      <c r="A30" s="942"/>
      <c r="B30" s="909"/>
      <c r="C30" s="909"/>
      <c r="D30" s="909"/>
      <c r="E30" s="909"/>
      <c r="F30" s="910"/>
      <c r="G30" s="637"/>
      <c r="H30" s="638"/>
      <c r="I30" s="941"/>
      <c r="J30" s="941"/>
      <c r="K30" s="915"/>
      <c r="L30" s="915"/>
      <c r="M30" s="637"/>
      <c r="N30" s="639"/>
      <c r="O30" s="639"/>
      <c r="P30" s="639"/>
      <c r="Q30" s="639"/>
      <c r="R30" s="638"/>
      <c r="S30" s="201" t="str">
        <f t="shared" si="0"/>
        <v/>
      </c>
      <c r="T30" s="201" t="str">
        <f t="shared" si="1"/>
        <v/>
      </c>
      <c r="V30" t="str">
        <f t="shared" si="2"/>
        <v/>
      </c>
      <c r="W30" t="str">
        <f t="shared" si="6"/>
        <v/>
      </c>
      <c r="X30" t="str">
        <f t="shared" si="7"/>
        <v/>
      </c>
      <c r="Y30" t="str">
        <f t="shared" si="8"/>
        <v/>
      </c>
      <c r="Z30" t="str">
        <f t="shared" si="9"/>
        <v/>
      </c>
      <c r="AA30" t="str">
        <f t="shared" si="10"/>
        <v/>
      </c>
      <c r="AB30" s="15">
        <f t="shared" si="4"/>
        <v>0</v>
      </c>
    </row>
    <row r="31" spans="1:28">
      <c r="A31" s="942"/>
      <c r="B31" s="909"/>
      <c r="C31" s="909"/>
      <c r="D31" s="909"/>
      <c r="E31" s="909"/>
      <c r="F31" s="910"/>
      <c r="G31" s="637"/>
      <c r="H31" s="638"/>
      <c r="I31" s="941"/>
      <c r="J31" s="941"/>
      <c r="K31" s="915"/>
      <c r="L31" s="915"/>
      <c r="M31" s="637"/>
      <c r="N31" s="639"/>
      <c r="O31" s="639"/>
      <c r="P31" s="639"/>
      <c r="Q31" s="639"/>
      <c r="R31" s="638"/>
      <c r="S31" s="201" t="str">
        <f t="shared" si="0"/>
        <v/>
      </c>
      <c r="T31" s="201" t="str">
        <f t="shared" si="1"/>
        <v/>
      </c>
      <c r="V31" t="str">
        <f t="shared" si="2"/>
        <v/>
      </c>
      <c r="W31" t="str">
        <f t="shared" si="6"/>
        <v/>
      </c>
      <c r="X31" t="str">
        <f t="shared" si="7"/>
        <v/>
      </c>
      <c r="Y31" t="str">
        <f t="shared" si="8"/>
        <v/>
      </c>
      <c r="Z31" t="str">
        <f t="shared" si="9"/>
        <v/>
      </c>
      <c r="AA31" t="str">
        <f t="shared" si="10"/>
        <v/>
      </c>
      <c r="AB31" s="15">
        <f t="shared" si="4"/>
        <v>0</v>
      </c>
    </row>
    <row r="32" spans="1:28">
      <c r="A32" s="942"/>
      <c r="B32" s="909"/>
      <c r="C32" s="909"/>
      <c r="D32" s="909"/>
      <c r="E32" s="909"/>
      <c r="F32" s="910"/>
      <c r="G32" s="637"/>
      <c r="H32" s="638"/>
      <c r="I32" s="941"/>
      <c r="J32" s="941"/>
      <c r="K32" s="915"/>
      <c r="L32" s="915"/>
      <c r="M32" s="637"/>
      <c r="N32" s="639"/>
      <c r="O32" s="639"/>
      <c r="P32" s="639"/>
      <c r="Q32" s="639"/>
      <c r="R32" s="638"/>
      <c r="S32" s="201" t="str">
        <f t="shared" si="0"/>
        <v/>
      </c>
      <c r="T32" s="201" t="str">
        <f t="shared" si="1"/>
        <v/>
      </c>
      <c r="V32" t="str">
        <f t="shared" si="2"/>
        <v/>
      </c>
      <c r="W32" t="str">
        <f t="shared" si="6"/>
        <v/>
      </c>
      <c r="X32" t="str">
        <f t="shared" si="7"/>
        <v/>
      </c>
      <c r="Y32" t="str">
        <f t="shared" si="8"/>
        <v/>
      </c>
      <c r="Z32" t="str">
        <f t="shared" si="9"/>
        <v/>
      </c>
      <c r="AA32" t="str">
        <f t="shared" si="10"/>
        <v/>
      </c>
      <c r="AB32" s="15">
        <f t="shared" si="4"/>
        <v>0</v>
      </c>
    </row>
    <row r="33" spans="1:28">
      <c r="A33" s="942"/>
      <c r="B33" s="909"/>
      <c r="C33" s="909"/>
      <c r="D33" s="909"/>
      <c r="E33" s="909"/>
      <c r="F33" s="910"/>
      <c r="G33" s="637"/>
      <c r="H33" s="638"/>
      <c r="I33" s="941"/>
      <c r="J33" s="941"/>
      <c r="K33" s="915"/>
      <c r="L33" s="915"/>
      <c r="M33" s="637"/>
      <c r="N33" s="639"/>
      <c r="O33" s="639"/>
      <c r="P33" s="639"/>
      <c r="Q33" s="639"/>
      <c r="R33" s="638"/>
      <c r="S33" s="201" t="str">
        <f t="shared" si="0"/>
        <v/>
      </c>
      <c r="T33" s="201" t="str">
        <f t="shared" si="1"/>
        <v/>
      </c>
      <c r="V33" t="str">
        <f t="shared" si="2"/>
        <v/>
      </c>
      <c r="W33" t="str">
        <f t="shared" si="6"/>
        <v/>
      </c>
      <c r="X33" t="str">
        <f t="shared" si="7"/>
        <v/>
      </c>
      <c r="Y33" t="str">
        <f t="shared" si="8"/>
        <v/>
      </c>
      <c r="Z33" t="str">
        <f t="shared" si="9"/>
        <v/>
      </c>
      <c r="AA33" t="str">
        <f t="shared" si="10"/>
        <v/>
      </c>
      <c r="AB33" s="15">
        <f t="shared" si="4"/>
        <v>0</v>
      </c>
    </row>
    <row r="34" spans="1:28">
      <c r="A34" s="942"/>
      <c r="B34" s="909"/>
      <c r="C34" s="909"/>
      <c r="D34" s="909"/>
      <c r="E34" s="909"/>
      <c r="F34" s="910"/>
      <c r="G34" s="637"/>
      <c r="H34" s="638"/>
      <c r="I34" s="941"/>
      <c r="J34" s="941"/>
      <c r="K34" s="915"/>
      <c r="L34" s="915"/>
      <c r="M34" s="637"/>
      <c r="N34" s="639"/>
      <c r="O34" s="639"/>
      <c r="P34" s="639"/>
      <c r="Q34" s="639"/>
      <c r="R34" s="638"/>
      <c r="S34" s="201" t="str">
        <f t="shared" si="0"/>
        <v/>
      </c>
      <c r="T34" s="201" t="str">
        <f t="shared" si="1"/>
        <v/>
      </c>
      <c r="V34" t="str">
        <f t="shared" si="2"/>
        <v/>
      </c>
      <c r="W34" t="str">
        <f t="shared" si="6"/>
        <v/>
      </c>
      <c r="X34" t="str">
        <f t="shared" si="7"/>
        <v/>
      </c>
      <c r="Y34" t="str">
        <f t="shared" si="8"/>
        <v/>
      </c>
      <c r="Z34" t="str">
        <f t="shared" si="9"/>
        <v/>
      </c>
      <c r="AA34" t="str">
        <f t="shared" si="10"/>
        <v/>
      </c>
      <c r="AB34" s="15">
        <f t="shared" si="4"/>
        <v>0</v>
      </c>
    </row>
    <row r="35" spans="1:28">
      <c r="A35" s="942"/>
      <c r="B35" s="909"/>
      <c r="C35" s="909"/>
      <c r="D35" s="909"/>
      <c r="E35" s="909"/>
      <c r="F35" s="910"/>
      <c r="G35" s="637"/>
      <c r="H35" s="638"/>
      <c r="I35" s="941"/>
      <c r="J35" s="941"/>
      <c r="K35" s="915"/>
      <c r="L35" s="915"/>
      <c r="M35" s="637"/>
      <c r="N35" s="639"/>
      <c r="O35" s="639"/>
      <c r="P35" s="639"/>
      <c r="Q35" s="639"/>
      <c r="R35" s="638"/>
      <c r="S35" s="201" t="str">
        <f t="shared" si="0"/>
        <v/>
      </c>
      <c r="T35" s="201" t="str">
        <f t="shared" si="1"/>
        <v/>
      </c>
      <c r="V35" t="str">
        <f t="shared" si="2"/>
        <v/>
      </c>
      <c r="W35" t="str">
        <f t="shared" si="6"/>
        <v/>
      </c>
      <c r="X35" t="str">
        <f t="shared" si="7"/>
        <v/>
      </c>
      <c r="Y35" t="str">
        <f t="shared" si="8"/>
        <v/>
      </c>
      <c r="Z35" t="str">
        <f t="shared" si="9"/>
        <v/>
      </c>
      <c r="AA35" t="str">
        <f t="shared" si="10"/>
        <v/>
      </c>
      <c r="AB35" s="15">
        <f t="shared" si="4"/>
        <v>0</v>
      </c>
    </row>
    <row r="36" spans="1:28">
      <c r="A36" s="942"/>
      <c r="B36" s="909"/>
      <c r="C36" s="909"/>
      <c r="D36" s="909"/>
      <c r="E36" s="909"/>
      <c r="F36" s="910"/>
      <c r="G36" s="637"/>
      <c r="H36" s="638"/>
      <c r="I36" s="941"/>
      <c r="J36" s="941"/>
      <c r="K36" s="915"/>
      <c r="L36" s="915"/>
      <c r="M36" s="637"/>
      <c r="N36" s="639"/>
      <c r="O36" s="639"/>
      <c r="P36" s="639"/>
      <c r="Q36" s="639"/>
      <c r="R36" s="638"/>
      <c r="S36" s="201" t="str">
        <f t="shared" si="0"/>
        <v/>
      </c>
      <c r="T36" s="201" t="str">
        <f t="shared" si="1"/>
        <v/>
      </c>
      <c r="V36" t="str">
        <f t="shared" si="2"/>
        <v/>
      </c>
      <c r="W36" t="str">
        <f t="shared" si="6"/>
        <v/>
      </c>
      <c r="X36" t="str">
        <f t="shared" si="7"/>
        <v/>
      </c>
      <c r="Y36" t="str">
        <f t="shared" si="8"/>
        <v/>
      </c>
      <c r="Z36" t="str">
        <f t="shared" si="9"/>
        <v/>
      </c>
      <c r="AA36" t="str">
        <f t="shared" si="10"/>
        <v/>
      </c>
      <c r="AB36" s="15">
        <f t="shared" si="4"/>
        <v>0</v>
      </c>
    </row>
    <row r="37" spans="1:28">
      <c r="A37" s="942"/>
      <c r="B37" s="909"/>
      <c r="C37" s="909"/>
      <c r="D37" s="909"/>
      <c r="E37" s="909"/>
      <c r="F37" s="910"/>
      <c r="G37" s="637"/>
      <c r="H37" s="638"/>
      <c r="I37" s="941"/>
      <c r="J37" s="941"/>
      <c r="K37" s="915"/>
      <c r="L37" s="915"/>
      <c r="M37" s="637"/>
      <c r="N37" s="639"/>
      <c r="O37" s="639"/>
      <c r="P37" s="639"/>
      <c r="Q37" s="639"/>
      <c r="R37" s="638"/>
      <c r="S37" s="201" t="str">
        <f t="shared" si="0"/>
        <v/>
      </c>
      <c r="T37" s="201" t="str">
        <f t="shared" si="1"/>
        <v/>
      </c>
      <c r="V37" t="str">
        <f t="shared" si="2"/>
        <v/>
      </c>
      <c r="W37" t="str">
        <f t="shared" si="6"/>
        <v/>
      </c>
      <c r="X37" t="str">
        <f t="shared" si="7"/>
        <v/>
      </c>
      <c r="Y37" t="str">
        <f t="shared" si="8"/>
        <v/>
      </c>
      <c r="Z37" t="str">
        <f t="shared" si="9"/>
        <v/>
      </c>
      <c r="AA37" t="str">
        <f t="shared" si="10"/>
        <v/>
      </c>
      <c r="AB37" s="15">
        <f t="shared" si="4"/>
        <v>0</v>
      </c>
    </row>
    <row r="38" spans="1:28">
      <c r="A38" s="942"/>
      <c r="B38" s="909"/>
      <c r="C38" s="909"/>
      <c r="D38" s="909"/>
      <c r="E38" s="909"/>
      <c r="F38" s="910"/>
      <c r="G38" s="637"/>
      <c r="H38" s="638"/>
      <c r="I38" s="941"/>
      <c r="J38" s="941"/>
      <c r="K38" s="915"/>
      <c r="L38" s="915"/>
      <c r="M38" s="637"/>
      <c r="N38" s="639"/>
      <c r="O38" s="639"/>
      <c r="P38" s="639"/>
      <c r="Q38" s="639"/>
      <c r="R38" s="638"/>
      <c r="S38" s="201" t="str">
        <f t="shared" si="0"/>
        <v/>
      </c>
      <c r="T38" s="201" t="str">
        <f t="shared" si="1"/>
        <v/>
      </c>
      <c r="V38" t="str">
        <f t="shared" si="2"/>
        <v/>
      </c>
      <c r="W38" t="str">
        <f t="shared" si="6"/>
        <v/>
      </c>
      <c r="X38" t="str">
        <f t="shared" si="7"/>
        <v/>
      </c>
      <c r="Y38" t="str">
        <f t="shared" si="8"/>
        <v/>
      </c>
      <c r="Z38" t="str">
        <f t="shared" si="9"/>
        <v/>
      </c>
      <c r="AA38" t="str">
        <f t="shared" si="10"/>
        <v/>
      </c>
      <c r="AB38" s="15">
        <f t="shared" si="4"/>
        <v>0</v>
      </c>
    </row>
    <row r="39" spans="1:28">
      <c r="A39" s="942"/>
      <c r="B39" s="909"/>
      <c r="C39" s="909"/>
      <c r="D39" s="909"/>
      <c r="E39" s="909"/>
      <c r="F39" s="910"/>
      <c r="G39" s="637"/>
      <c r="H39" s="638"/>
      <c r="I39" s="941"/>
      <c r="J39" s="941"/>
      <c r="K39" s="915"/>
      <c r="L39" s="915"/>
      <c r="M39" s="637"/>
      <c r="N39" s="639"/>
      <c r="O39" s="639"/>
      <c r="P39" s="639"/>
      <c r="Q39" s="639"/>
      <c r="R39" s="638"/>
      <c r="S39" s="201" t="str">
        <f t="shared" si="0"/>
        <v/>
      </c>
      <c r="T39" s="201" t="str">
        <f t="shared" si="1"/>
        <v/>
      </c>
      <c r="V39" t="str">
        <f t="shared" si="2"/>
        <v/>
      </c>
      <c r="W39" t="str">
        <f t="shared" si="6"/>
        <v/>
      </c>
      <c r="X39" t="str">
        <f t="shared" si="7"/>
        <v/>
      </c>
      <c r="Y39" t="str">
        <f t="shared" si="8"/>
        <v/>
      </c>
      <c r="Z39" t="str">
        <f t="shared" si="9"/>
        <v/>
      </c>
      <c r="AA39" t="str">
        <f t="shared" si="10"/>
        <v/>
      </c>
      <c r="AB39" s="15">
        <f t="shared" si="4"/>
        <v>0</v>
      </c>
    </row>
    <row r="40" spans="1:28">
      <c r="A40" s="942"/>
      <c r="B40" s="909"/>
      <c r="C40" s="909"/>
      <c r="D40" s="909"/>
      <c r="E40" s="909"/>
      <c r="F40" s="910"/>
      <c r="G40" s="637"/>
      <c r="H40" s="638"/>
      <c r="I40" s="941"/>
      <c r="J40" s="941"/>
      <c r="K40" s="915"/>
      <c r="L40" s="915"/>
      <c r="M40" s="637"/>
      <c r="N40" s="639"/>
      <c r="O40" s="639"/>
      <c r="P40" s="639"/>
      <c r="Q40" s="639"/>
      <c r="R40" s="638"/>
      <c r="S40" s="201" t="str">
        <f t="shared" si="0"/>
        <v/>
      </c>
      <c r="T40" s="201" t="str">
        <f t="shared" si="1"/>
        <v/>
      </c>
      <c r="V40" t="str">
        <f t="shared" si="2"/>
        <v/>
      </c>
      <c r="W40" t="str">
        <f t="shared" si="6"/>
        <v/>
      </c>
      <c r="X40" t="str">
        <f t="shared" si="7"/>
        <v/>
      </c>
      <c r="Y40" t="str">
        <f t="shared" si="8"/>
        <v/>
      </c>
      <c r="Z40" t="str">
        <f t="shared" si="9"/>
        <v/>
      </c>
      <c r="AA40" t="str">
        <f t="shared" si="10"/>
        <v/>
      </c>
      <c r="AB40" s="15">
        <f t="shared" si="4"/>
        <v>0</v>
      </c>
    </row>
    <row r="41" spans="1:28">
      <c r="A41" s="942"/>
      <c r="B41" s="909"/>
      <c r="C41" s="909"/>
      <c r="D41" s="909"/>
      <c r="E41" s="909"/>
      <c r="F41" s="910"/>
      <c r="G41" s="637"/>
      <c r="H41" s="638"/>
      <c r="I41" s="941"/>
      <c r="J41" s="941"/>
      <c r="K41" s="915"/>
      <c r="L41" s="915"/>
      <c r="M41" s="637"/>
      <c r="N41" s="639"/>
      <c r="O41" s="639"/>
      <c r="P41" s="639"/>
      <c r="Q41" s="639"/>
      <c r="R41" s="638"/>
      <c r="S41" s="201" t="str">
        <f t="shared" si="0"/>
        <v/>
      </c>
      <c r="T41" s="201" t="str">
        <f t="shared" si="1"/>
        <v/>
      </c>
      <c r="V41" t="str">
        <f t="shared" si="2"/>
        <v/>
      </c>
      <c r="W41" t="str">
        <f t="shared" si="6"/>
        <v/>
      </c>
      <c r="X41" t="str">
        <f t="shared" si="7"/>
        <v/>
      </c>
      <c r="Y41" t="str">
        <f t="shared" si="8"/>
        <v/>
      </c>
      <c r="Z41" t="str">
        <f t="shared" si="9"/>
        <v/>
      </c>
      <c r="AA41" t="str">
        <f t="shared" si="10"/>
        <v/>
      </c>
      <c r="AB41" s="15">
        <f t="shared" si="4"/>
        <v>0</v>
      </c>
    </row>
    <row r="42" spans="1:28">
      <c r="A42" s="942"/>
      <c r="B42" s="909"/>
      <c r="C42" s="909"/>
      <c r="D42" s="909"/>
      <c r="E42" s="909"/>
      <c r="F42" s="910"/>
      <c r="G42" s="637"/>
      <c r="H42" s="638"/>
      <c r="I42" s="941"/>
      <c r="J42" s="941"/>
      <c r="K42" s="915"/>
      <c r="L42" s="915"/>
      <c r="M42" s="637"/>
      <c r="N42" s="639"/>
      <c r="O42" s="639"/>
      <c r="P42" s="639"/>
      <c r="Q42" s="639"/>
      <c r="R42" s="638"/>
      <c r="S42" s="201" t="str">
        <f t="shared" si="0"/>
        <v/>
      </c>
      <c r="T42" s="201" t="str">
        <f t="shared" si="1"/>
        <v/>
      </c>
      <c r="V42" t="str">
        <f t="shared" si="2"/>
        <v/>
      </c>
      <c r="W42" t="str">
        <f t="shared" si="6"/>
        <v/>
      </c>
      <c r="X42" t="str">
        <f t="shared" si="7"/>
        <v/>
      </c>
      <c r="Y42" t="str">
        <f t="shared" si="8"/>
        <v/>
      </c>
      <c r="Z42" t="str">
        <f t="shared" si="9"/>
        <v/>
      </c>
      <c r="AA42" t="str">
        <f t="shared" si="10"/>
        <v/>
      </c>
      <c r="AB42" s="15">
        <f t="shared" si="4"/>
        <v>0</v>
      </c>
    </row>
    <row r="43" spans="1:28">
      <c r="A43" s="942"/>
      <c r="B43" s="909"/>
      <c r="C43" s="909"/>
      <c r="D43" s="909"/>
      <c r="E43" s="909"/>
      <c r="F43" s="910"/>
      <c r="G43" s="637"/>
      <c r="H43" s="638"/>
      <c r="I43" s="941"/>
      <c r="J43" s="941"/>
      <c r="K43" s="915"/>
      <c r="L43" s="915"/>
      <c r="M43" s="637"/>
      <c r="N43" s="639"/>
      <c r="O43" s="639"/>
      <c r="P43" s="639"/>
      <c r="Q43" s="639"/>
      <c r="R43" s="638"/>
      <c r="S43" s="201" t="str">
        <f t="shared" si="0"/>
        <v/>
      </c>
      <c r="T43" s="201" t="str">
        <f t="shared" si="1"/>
        <v/>
      </c>
      <c r="V43" t="str">
        <f t="shared" si="2"/>
        <v/>
      </c>
      <c r="W43" t="str">
        <f t="shared" si="6"/>
        <v/>
      </c>
      <c r="X43" t="str">
        <f t="shared" si="7"/>
        <v/>
      </c>
      <c r="Y43" t="str">
        <f t="shared" si="8"/>
        <v/>
      </c>
      <c r="Z43" t="str">
        <f t="shared" si="9"/>
        <v/>
      </c>
      <c r="AA43" t="str">
        <f t="shared" si="10"/>
        <v/>
      </c>
      <c r="AB43" s="15">
        <f t="shared" si="4"/>
        <v>0</v>
      </c>
    </row>
    <row r="44" spans="1:28">
      <c r="A44" s="942"/>
      <c r="B44" s="909"/>
      <c r="C44" s="909"/>
      <c r="D44" s="909"/>
      <c r="E44" s="909"/>
      <c r="F44" s="910"/>
      <c r="G44" s="637"/>
      <c r="H44" s="638"/>
      <c r="I44" s="941"/>
      <c r="J44" s="941"/>
      <c r="K44" s="915"/>
      <c r="L44" s="915"/>
      <c r="M44" s="637"/>
      <c r="N44" s="639"/>
      <c r="O44" s="639"/>
      <c r="P44" s="639"/>
      <c r="Q44" s="639"/>
      <c r="R44" s="638"/>
      <c r="S44" s="201" t="str">
        <f t="shared" si="0"/>
        <v/>
      </c>
      <c r="T44" s="201" t="str">
        <f t="shared" si="1"/>
        <v/>
      </c>
      <c r="V44" t="str">
        <f t="shared" si="2"/>
        <v/>
      </c>
      <c r="W44" t="str">
        <f t="shared" si="6"/>
        <v/>
      </c>
      <c r="X44" t="str">
        <f t="shared" si="7"/>
        <v/>
      </c>
      <c r="Y44" t="str">
        <f t="shared" si="8"/>
        <v/>
      </c>
      <c r="Z44" t="str">
        <f t="shared" si="9"/>
        <v/>
      </c>
      <c r="AA44" t="str">
        <f t="shared" si="10"/>
        <v/>
      </c>
      <c r="AB44" s="15">
        <f t="shared" si="4"/>
        <v>0</v>
      </c>
    </row>
    <row r="45" spans="1:28">
      <c r="A45" s="942"/>
      <c r="B45" s="909"/>
      <c r="C45" s="909"/>
      <c r="D45" s="909"/>
      <c r="E45" s="909"/>
      <c r="F45" s="910"/>
      <c r="G45" s="637"/>
      <c r="H45" s="638"/>
      <c r="I45" s="941"/>
      <c r="J45" s="941"/>
      <c r="K45" s="915"/>
      <c r="L45" s="915"/>
      <c r="M45" s="637"/>
      <c r="N45" s="639"/>
      <c r="O45" s="639"/>
      <c r="P45" s="639"/>
      <c r="Q45" s="639"/>
      <c r="R45" s="638"/>
      <c r="S45" s="201" t="str">
        <f t="shared" si="0"/>
        <v/>
      </c>
      <c r="T45" s="201" t="str">
        <f t="shared" si="1"/>
        <v/>
      </c>
      <c r="V45" t="str">
        <f t="shared" si="2"/>
        <v/>
      </c>
      <c r="W45" t="str">
        <f t="shared" si="6"/>
        <v/>
      </c>
      <c r="X45" t="str">
        <f t="shared" si="7"/>
        <v/>
      </c>
      <c r="Y45" t="str">
        <f t="shared" si="8"/>
        <v/>
      </c>
      <c r="Z45" t="str">
        <f t="shared" si="9"/>
        <v/>
      </c>
      <c r="AA45" t="str">
        <f t="shared" si="10"/>
        <v/>
      </c>
      <c r="AB45" s="15">
        <f t="shared" si="4"/>
        <v>0</v>
      </c>
    </row>
    <row r="46" spans="1:28">
      <c r="A46" s="942"/>
      <c r="B46" s="909"/>
      <c r="C46" s="909"/>
      <c r="D46" s="909"/>
      <c r="E46" s="909"/>
      <c r="F46" s="910"/>
      <c r="G46" s="637"/>
      <c r="H46" s="638"/>
      <c r="I46" s="941"/>
      <c r="J46" s="941"/>
      <c r="K46" s="915"/>
      <c r="L46" s="915"/>
      <c r="M46" s="637"/>
      <c r="N46" s="639"/>
      <c r="O46" s="639"/>
      <c r="P46" s="639"/>
      <c r="Q46" s="639"/>
      <c r="R46" s="638"/>
      <c r="S46" s="201" t="str">
        <f t="shared" si="0"/>
        <v/>
      </c>
      <c r="T46" s="201" t="str">
        <f t="shared" si="1"/>
        <v/>
      </c>
      <c r="V46" t="str">
        <f t="shared" si="2"/>
        <v/>
      </c>
      <c r="W46" t="str">
        <f t="shared" si="6"/>
        <v/>
      </c>
      <c r="X46" t="str">
        <f t="shared" si="7"/>
        <v/>
      </c>
      <c r="Y46" t="str">
        <f t="shared" si="8"/>
        <v/>
      </c>
      <c r="Z46" t="str">
        <f t="shared" si="9"/>
        <v/>
      </c>
      <c r="AA46" t="str">
        <f t="shared" si="10"/>
        <v/>
      </c>
      <c r="AB46" s="15">
        <f t="shared" si="4"/>
        <v>0</v>
      </c>
    </row>
    <row r="47" spans="1:28">
      <c r="A47" s="942"/>
      <c r="B47" s="909"/>
      <c r="C47" s="909"/>
      <c r="D47" s="909"/>
      <c r="E47" s="909"/>
      <c r="F47" s="910"/>
      <c r="G47" s="637"/>
      <c r="H47" s="638"/>
      <c r="I47" s="941"/>
      <c r="J47" s="941"/>
      <c r="K47" s="915"/>
      <c r="L47" s="915"/>
      <c r="M47" s="637"/>
      <c r="N47" s="639"/>
      <c r="O47" s="639"/>
      <c r="P47" s="639"/>
      <c r="Q47" s="639"/>
      <c r="R47" s="638"/>
      <c r="S47" s="201" t="str">
        <f t="shared" si="0"/>
        <v/>
      </c>
      <c r="T47" s="201" t="str">
        <f t="shared" si="1"/>
        <v/>
      </c>
      <c r="V47" t="str">
        <f t="shared" si="2"/>
        <v/>
      </c>
      <c r="W47" t="str">
        <f t="shared" si="6"/>
        <v/>
      </c>
      <c r="X47" t="str">
        <f t="shared" si="7"/>
        <v/>
      </c>
      <c r="Y47" t="str">
        <f t="shared" si="8"/>
        <v/>
      </c>
      <c r="Z47" t="str">
        <f t="shared" si="9"/>
        <v/>
      </c>
      <c r="AA47" t="str">
        <f t="shared" si="10"/>
        <v/>
      </c>
      <c r="AB47" s="15">
        <f t="shared" si="4"/>
        <v>0</v>
      </c>
    </row>
    <row r="48" spans="1:28">
      <c r="A48" s="942"/>
      <c r="B48" s="909"/>
      <c r="C48" s="909"/>
      <c r="D48" s="909"/>
      <c r="E48" s="909"/>
      <c r="F48" s="910"/>
      <c r="G48" s="637"/>
      <c r="H48" s="638"/>
      <c r="I48" s="941"/>
      <c r="J48" s="941"/>
      <c r="K48" s="915"/>
      <c r="L48" s="915"/>
      <c r="M48" s="637"/>
      <c r="N48" s="639"/>
      <c r="O48" s="639"/>
      <c r="P48" s="639"/>
      <c r="Q48" s="639"/>
      <c r="R48" s="638"/>
      <c r="S48" s="201" t="str">
        <f t="shared" si="0"/>
        <v/>
      </c>
      <c r="T48" s="201" t="str">
        <f t="shared" si="1"/>
        <v/>
      </c>
      <c r="V48" t="str">
        <f t="shared" si="2"/>
        <v/>
      </c>
      <c r="W48" t="str">
        <f t="shared" si="6"/>
        <v/>
      </c>
      <c r="X48" t="str">
        <f t="shared" si="7"/>
        <v/>
      </c>
      <c r="Y48" t="str">
        <f t="shared" si="8"/>
        <v/>
      </c>
      <c r="Z48" t="str">
        <f t="shared" si="9"/>
        <v/>
      </c>
      <c r="AA48" t="str">
        <f t="shared" si="10"/>
        <v/>
      </c>
      <c r="AB48" s="15">
        <f t="shared" si="4"/>
        <v>0</v>
      </c>
    </row>
    <row r="49" spans="9:20" ht="7.5" customHeight="1"/>
    <row r="50" spans="9:20">
      <c r="I50" s="918" t="s">
        <v>371</v>
      </c>
      <c r="J50" s="919"/>
      <c r="K50" s="919"/>
      <c r="L50" s="919"/>
      <c r="M50" s="919"/>
      <c r="N50" s="919"/>
      <c r="O50" s="919"/>
      <c r="P50" s="919"/>
      <c r="Q50" s="919"/>
      <c r="R50" s="919"/>
      <c r="S50" s="919"/>
      <c r="T50" s="920"/>
    </row>
    <row r="51" spans="9:20" ht="6" customHeight="1"/>
    <row r="52" spans="9:20">
      <c r="I52" s="5"/>
      <c r="J52" s="917" t="s">
        <v>562</v>
      </c>
      <c r="K52" s="917"/>
      <c r="L52" s="917"/>
      <c r="M52" s="189"/>
      <c r="N52" s="189"/>
      <c r="O52" s="189"/>
      <c r="P52" s="190" t="s">
        <v>24</v>
      </c>
      <c r="Q52" s="189"/>
      <c r="R52" s="189"/>
      <c r="S52" s="190" t="s">
        <v>563</v>
      </c>
      <c r="T52" s="7"/>
    </row>
    <row r="53" spans="9:20">
      <c r="I53" s="107"/>
      <c r="J53" s="103"/>
      <c r="K53" s="103"/>
      <c r="L53" s="103"/>
      <c r="M53" s="103"/>
      <c r="N53" s="103"/>
      <c r="O53" s="103"/>
      <c r="P53" s="103"/>
      <c r="Q53" s="103"/>
      <c r="R53" s="103"/>
      <c r="S53" s="103"/>
      <c r="T53" s="105"/>
    </row>
  </sheetData>
  <sheetProtection selectLockedCells="1"/>
  <mergeCells count="137">
    <mergeCell ref="I50:T50"/>
    <mergeCell ref="J52:L52"/>
    <mergeCell ref="A11:F11"/>
    <mergeCell ref="A12:F12"/>
    <mergeCell ref="A13:F13"/>
    <mergeCell ref="A14:F14"/>
    <mergeCell ref="A15:F15"/>
    <mergeCell ref="K47:L47"/>
    <mergeCell ref="I48:J48"/>
    <mergeCell ref="K48:L48"/>
    <mergeCell ref="K43:L43"/>
    <mergeCell ref="I44:J44"/>
    <mergeCell ref="K44:L44"/>
    <mergeCell ref="A43:F43"/>
    <mergeCell ref="A44:F44"/>
    <mergeCell ref="I43:J43"/>
    <mergeCell ref="A47:F47"/>
    <mergeCell ref="A48:F48"/>
    <mergeCell ref="I47:J47"/>
    <mergeCell ref="K45:L45"/>
    <mergeCell ref="I46:J46"/>
    <mergeCell ref="K46:L46"/>
    <mergeCell ref="A45:F45"/>
    <mergeCell ref="A46:F46"/>
    <mergeCell ref="I45:J45"/>
    <mergeCell ref="K39:L39"/>
    <mergeCell ref="I40:J40"/>
    <mergeCell ref="K40:L40"/>
    <mergeCell ref="A39:F39"/>
    <mergeCell ref="A40:F40"/>
    <mergeCell ref="I39:J39"/>
    <mergeCell ref="K41:L41"/>
    <mergeCell ref="I42:J42"/>
    <mergeCell ref="K42:L42"/>
    <mergeCell ref="A41:F41"/>
    <mergeCell ref="A42:F42"/>
    <mergeCell ref="I41:J41"/>
    <mergeCell ref="K35:L35"/>
    <mergeCell ref="I36:J36"/>
    <mergeCell ref="K36:L36"/>
    <mergeCell ref="A35:F35"/>
    <mergeCell ref="A36:F36"/>
    <mergeCell ref="I35:J35"/>
    <mergeCell ref="K37:L37"/>
    <mergeCell ref="I38:J38"/>
    <mergeCell ref="K38:L38"/>
    <mergeCell ref="A37:F37"/>
    <mergeCell ref="A38:F38"/>
    <mergeCell ref="I37:J37"/>
    <mergeCell ref="K31:L31"/>
    <mergeCell ref="I32:J32"/>
    <mergeCell ref="K32:L32"/>
    <mergeCell ref="A31:F31"/>
    <mergeCell ref="A32:F32"/>
    <mergeCell ref="I31:J31"/>
    <mergeCell ref="K33:L33"/>
    <mergeCell ref="I34:J34"/>
    <mergeCell ref="K34:L34"/>
    <mergeCell ref="A33:F33"/>
    <mergeCell ref="A34:F34"/>
    <mergeCell ref="I33:J33"/>
    <mergeCell ref="K27:L27"/>
    <mergeCell ref="I28:J28"/>
    <mergeCell ref="K28:L28"/>
    <mergeCell ref="A27:F27"/>
    <mergeCell ref="A28:F28"/>
    <mergeCell ref="I27:J27"/>
    <mergeCell ref="K29:L29"/>
    <mergeCell ref="I30:J30"/>
    <mergeCell ref="K30:L30"/>
    <mergeCell ref="A29:F29"/>
    <mergeCell ref="A30:F30"/>
    <mergeCell ref="I29:J29"/>
    <mergeCell ref="K23:L23"/>
    <mergeCell ref="I24:J24"/>
    <mergeCell ref="K24:L24"/>
    <mergeCell ref="A23:F23"/>
    <mergeCell ref="A24:F24"/>
    <mergeCell ref="I23:J23"/>
    <mergeCell ref="K25:L25"/>
    <mergeCell ref="I26:J26"/>
    <mergeCell ref="K26:L26"/>
    <mergeCell ref="A25:F25"/>
    <mergeCell ref="A26:F26"/>
    <mergeCell ref="I25:J25"/>
    <mergeCell ref="K19:L19"/>
    <mergeCell ref="I20:J20"/>
    <mergeCell ref="K20:L20"/>
    <mergeCell ref="A19:F19"/>
    <mergeCell ref="A20:F20"/>
    <mergeCell ref="I19:J19"/>
    <mergeCell ref="K21:L21"/>
    <mergeCell ref="I22:J22"/>
    <mergeCell ref="K22:L22"/>
    <mergeCell ref="A21:F21"/>
    <mergeCell ref="A22:F22"/>
    <mergeCell ref="I21:J21"/>
    <mergeCell ref="I16:J16"/>
    <mergeCell ref="K16:L16"/>
    <mergeCell ref="A16:F16"/>
    <mergeCell ref="K17:L17"/>
    <mergeCell ref="I18:J18"/>
    <mergeCell ref="K18:L18"/>
    <mergeCell ref="A17:F17"/>
    <mergeCell ref="A18:F18"/>
    <mergeCell ref="I17:J17"/>
    <mergeCell ref="I11:J11"/>
    <mergeCell ref="K11:L11"/>
    <mergeCell ref="K12:L12"/>
    <mergeCell ref="I13:J13"/>
    <mergeCell ref="K13:L13"/>
    <mergeCell ref="I12:J12"/>
    <mergeCell ref="K14:L14"/>
    <mergeCell ref="I15:J15"/>
    <mergeCell ref="K15:L15"/>
    <mergeCell ref="I14:J14"/>
    <mergeCell ref="A9:F10"/>
    <mergeCell ref="G9:H10"/>
    <mergeCell ref="I9:J10"/>
    <mergeCell ref="E6:J6"/>
    <mergeCell ref="I7:J7"/>
    <mergeCell ref="K9:L10"/>
    <mergeCell ref="M9:R10"/>
    <mergeCell ref="S9:S10"/>
    <mergeCell ref="T9:T10"/>
    <mergeCell ref="Q7:T7"/>
    <mergeCell ref="K6:O6"/>
    <mergeCell ref="P6:T6"/>
    <mergeCell ref="A4:C4"/>
    <mergeCell ref="A5:C5"/>
    <mergeCell ref="D5:F5"/>
    <mergeCell ref="A6:D6"/>
    <mergeCell ref="K5:M5"/>
    <mergeCell ref="K4:N4"/>
    <mergeCell ref="O4:T4"/>
    <mergeCell ref="N5:T5"/>
    <mergeCell ref="D4:J4"/>
  </mergeCells>
  <phoneticPr fontId="27" type="noConversion"/>
  <pageMargins left="0.5" right="0.5" top="0.80208333333333337" bottom="0.75" header="0.5" footer="0.5"/>
  <pageSetup orientation="portrait" horizontalDpi="300" verticalDpi="1200" r:id="rId1"/>
  <headerFooter>
    <oddHeader>&amp;L&amp;G&amp;C&amp;"Arial,Bold"&amp;14         PRODUCTION PART APPROVAL</oddHeader>
    <oddFooter>&amp;C&amp;F</oddFooter>
  </headerFooter>
  <ignoredErrors>
    <ignoredError sqref="S11:T15 S16:T48" unlockedFormula="1"/>
  </ignoredErrors>
  <legacyDrawing r:id="rId2"/>
  <legacyDrawingHF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0">
    <pageSetUpPr fitToPage="1"/>
  </sheetPr>
  <dimension ref="A1:IQ29"/>
  <sheetViews>
    <sheetView showGridLines="0" showRowColHeaders="0" view="pageLayout" zoomScaleNormal="100" workbookViewId="0">
      <selection activeCell="F1" sqref="F1"/>
    </sheetView>
  </sheetViews>
  <sheetFormatPr defaultColWidth="9.140625" defaultRowHeight="12.75"/>
  <cols>
    <col min="1" max="1" width="2.28515625" style="252" customWidth="1"/>
    <col min="2" max="2" width="16" style="249" customWidth="1"/>
    <col min="3" max="3" width="12" style="249" customWidth="1"/>
    <col min="4" max="4" width="25.42578125" style="104" customWidth="1"/>
    <col min="5" max="5" width="17.7109375" style="104" customWidth="1"/>
    <col min="6" max="7" width="13.5703125" style="104" customWidth="1"/>
    <col min="8" max="8" width="29.7109375" style="104" customWidth="1"/>
    <col min="9" max="9" width="27.28515625" style="104" customWidth="1"/>
    <col min="10" max="10" width="15.28515625" style="104" customWidth="1"/>
    <col min="11" max="11" width="17.140625" style="104" customWidth="1"/>
    <col min="12" max="12" width="12" style="104" customWidth="1"/>
    <col min="13" max="13" width="19.42578125" style="104" hidden="1" customWidth="1"/>
    <col min="14" max="14" width="15.5703125" style="104" hidden="1" customWidth="1"/>
    <col min="15" max="15" width="16.140625" style="104" hidden="1" customWidth="1"/>
    <col min="16" max="16" width="14" style="104" hidden="1" customWidth="1"/>
    <col min="17" max="18" width="14.42578125" style="104" hidden="1" customWidth="1"/>
    <col min="19" max="251" width="9.140625" style="104" hidden="1" customWidth="1"/>
    <col min="252" max="16384" width="9.140625" style="104"/>
  </cols>
  <sheetData>
    <row r="1" spans="1:13" ht="18.600000000000001" customHeight="1">
      <c r="A1" s="218"/>
      <c r="B1" s="219"/>
      <c r="C1" s="219"/>
      <c r="D1" s="220"/>
      <c r="E1" s="221"/>
      <c r="H1" s="222"/>
      <c r="I1" s="223"/>
      <c r="J1" s="220"/>
    </row>
    <row r="2" spans="1:13" ht="18">
      <c r="A2" s="218"/>
      <c r="B2" s="946" t="s">
        <v>666</v>
      </c>
      <c r="C2" s="946"/>
      <c r="D2" s="946"/>
      <c r="E2" s="946"/>
      <c r="F2" s="946"/>
      <c r="G2" s="946"/>
      <c r="H2" s="946"/>
      <c r="I2" s="946"/>
      <c r="J2" s="946"/>
      <c r="K2" s="946"/>
      <c r="L2" s="946"/>
    </row>
    <row r="3" spans="1:13" ht="13.5" thickBot="1">
      <c r="A3" s="218"/>
      <c r="B3" s="219"/>
      <c r="C3" s="219"/>
      <c r="D3" s="220"/>
      <c r="E3" s="220"/>
      <c r="F3" s="220"/>
      <c r="G3" s="220"/>
      <c r="H3" s="222"/>
      <c r="I3" s="220"/>
      <c r="J3" s="220"/>
    </row>
    <row r="4" spans="1:13" ht="25.5" thickBot="1">
      <c r="A4" s="104"/>
      <c r="B4" s="224"/>
      <c r="C4" s="224"/>
      <c r="D4" s="224"/>
      <c r="E4" s="224"/>
      <c r="F4" s="224"/>
      <c r="G4" s="224"/>
      <c r="H4" s="224"/>
      <c r="I4" s="943" t="s">
        <v>716</v>
      </c>
      <c r="J4" s="944"/>
      <c r="K4" s="945"/>
    </row>
    <row r="5" spans="1:13" ht="39" thickBot="1">
      <c r="A5" s="104"/>
      <c r="B5" s="225" t="s">
        <v>717</v>
      </c>
      <c r="C5" s="225" t="s">
        <v>718</v>
      </c>
      <c r="D5" s="226" t="s">
        <v>719</v>
      </c>
      <c r="E5" s="226" t="s">
        <v>720</v>
      </c>
      <c r="F5" s="226" t="s">
        <v>721</v>
      </c>
      <c r="G5" s="226" t="s">
        <v>722</v>
      </c>
      <c r="H5" s="226" t="s">
        <v>723</v>
      </c>
      <c r="I5" s="227" t="s">
        <v>724</v>
      </c>
      <c r="J5" s="226" t="s">
        <v>725</v>
      </c>
      <c r="K5" s="228" t="s">
        <v>726</v>
      </c>
    </row>
    <row r="6" spans="1:13" ht="15.75" thickBot="1">
      <c r="A6" s="104"/>
      <c r="B6" s="253" t="s">
        <v>743</v>
      </c>
      <c r="C6" s="254" t="s">
        <v>727</v>
      </c>
      <c r="D6" s="255" t="s">
        <v>728</v>
      </c>
      <c r="E6" s="256" t="s">
        <v>15</v>
      </c>
      <c r="F6" s="257" t="s">
        <v>729</v>
      </c>
      <c r="G6" s="257">
        <v>1.1599999999999999</v>
      </c>
      <c r="H6" s="258" t="s">
        <v>730</v>
      </c>
      <c r="I6" s="259" t="s">
        <v>731</v>
      </c>
      <c r="J6" s="260">
        <v>42036</v>
      </c>
      <c r="K6" s="256" t="s">
        <v>732</v>
      </c>
      <c r="M6" s="231" t="s">
        <v>733</v>
      </c>
    </row>
    <row r="7" spans="1:13" ht="15.75" thickBot="1">
      <c r="A7" s="104"/>
      <c r="B7" s="261" t="s">
        <v>744</v>
      </c>
      <c r="C7" s="254" t="s">
        <v>727</v>
      </c>
      <c r="D7" s="255" t="s">
        <v>734</v>
      </c>
      <c r="E7" s="262" t="s">
        <v>15</v>
      </c>
      <c r="F7" s="257" t="s">
        <v>729</v>
      </c>
      <c r="G7" s="263">
        <v>3.23</v>
      </c>
      <c r="H7" s="264" t="s">
        <v>735</v>
      </c>
      <c r="I7" s="265"/>
      <c r="J7" s="263"/>
      <c r="K7" s="262"/>
      <c r="M7" s="237" t="s">
        <v>736</v>
      </c>
    </row>
    <row r="8" spans="1:13" ht="15.75" thickBot="1">
      <c r="A8" s="104"/>
      <c r="B8" s="261"/>
      <c r="C8" s="266"/>
      <c r="D8" s="255"/>
      <c r="E8" s="262"/>
      <c r="F8" s="257"/>
      <c r="G8" s="263"/>
      <c r="H8" s="264"/>
      <c r="I8" s="265"/>
      <c r="J8" s="263"/>
      <c r="K8" s="262"/>
      <c r="M8" s="237"/>
    </row>
    <row r="9" spans="1:13" ht="15.75" thickBot="1">
      <c r="A9" s="104"/>
      <c r="B9" s="261"/>
      <c r="C9" s="266"/>
      <c r="D9" s="255"/>
      <c r="E9" s="262"/>
      <c r="F9" s="257"/>
      <c r="G9" s="263"/>
      <c r="H9" s="264"/>
      <c r="I9" s="265"/>
      <c r="J9" s="263"/>
      <c r="K9" s="262"/>
      <c r="M9" s="237"/>
    </row>
    <row r="10" spans="1:13" ht="15.75" thickBot="1">
      <c r="A10" s="104"/>
      <c r="B10" s="232"/>
      <c r="C10" s="238"/>
      <c r="D10" s="229"/>
      <c r="E10" s="233"/>
      <c r="F10" s="230"/>
      <c r="G10" s="234"/>
      <c r="H10" s="235"/>
      <c r="I10" s="236"/>
      <c r="J10" s="234"/>
      <c r="K10" s="233"/>
      <c r="M10" s="237" t="s">
        <v>737</v>
      </c>
    </row>
    <row r="11" spans="1:13" ht="15">
      <c r="A11" s="104"/>
      <c r="B11" s="232"/>
      <c r="C11" s="238"/>
      <c r="D11" s="229"/>
      <c r="E11" s="233"/>
      <c r="F11" s="230"/>
      <c r="G11" s="234"/>
      <c r="H11" s="235"/>
      <c r="I11" s="239" t="s">
        <v>326</v>
      </c>
      <c r="J11" s="240" t="s">
        <v>326</v>
      </c>
      <c r="K11" s="241" t="s">
        <v>326</v>
      </c>
      <c r="M11" s="237" t="s">
        <v>729</v>
      </c>
    </row>
    <row r="12" spans="1:13" ht="15.75" thickBot="1">
      <c r="A12" s="104"/>
      <c r="B12" s="242" t="s">
        <v>326</v>
      </c>
      <c r="C12" s="243"/>
      <c r="D12" s="244"/>
      <c r="E12" s="245"/>
      <c r="F12" s="245"/>
      <c r="G12" s="245"/>
      <c r="H12" s="244"/>
      <c r="I12" s="246"/>
      <c r="J12" s="245"/>
      <c r="K12" s="247"/>
      <c r="M12" s="237" t="s">
        <v>738</v>
      </c>
    </row>
    <row r="13" spans="1:13">
      <c r="A13" s="104"/>
      <c r="B13" s="248" t="s">
        <v>739</v>
      </c>
      <c r="C13" s="248"/>
      <c r="D13" s="248"/>
      <c r="M13" s="237" t="s">
        <v>740</v>
      </c>
    </row>
    <row r="14" spans="1:13">
      <c r="A14" s="104"/>
    </row>
    <row r="15" spans="1:13">
      <c r="A15" s="104"/>
      <c r="B15" s="104"/>
      <c r="C15" s="104"/>
      <c r="M15" s="250" t="s">
        <v>741</v>
      </c>
    </row>
    <row r="16" spans="1:13">
      <c r="A16" s="104"/>
      <c r="B16" s="104"/>
      <c r="C16" s="104"/>
      <c r="M16" s="251" t="s">
        <v>742</v>
      </c>
    </row>
    <row r="17" spans="1:13">
      <c r="A17" s="104"/>
      <c r="B17" s="104"/>
      <c r="C17" s="104"/>
      <c r="M17" s="251" t="s">
        <v>730</v>
      </c>
    </row>
    <row r="18" spans="1:13">
      <c r="A18" s="104"/>
      <c r="B18" s="104"/>
      <c r="C18" s="104"/>
      <c r="M18" s="251" t="s">
        <v>735</v>
      </c>
    </row>
    <row r="19" spans="1:13">
      <c r="A19" s="104"/>
      <c r="B19" s="104"/>
      <c r="C19" s="104"/>
    </row>
    <row r="20" spans="1:13">
      <c r="A20" s="104"/>
      <c r="B20" s="104"/>
      <c r="C20" s="104"/>
      <c r="L20" s="104" t="s">
        <v>326</v>
      </c>
    </row>
    <row r="21" spans="1:13">
      <c r="A21" s="104"/>
      <c r="B21" s="104"/>
      <c r="C21" s="104"/>
      <c r="M21" s="251" t="s">
        <v>15</v>
      </c>
    </row>
    <row r="22" spans="1:13">
      <c r="A22" s="104"/>
      <c r="B22" s="104"/>
      <c r="C22" s="104"/>
      <c r="M22" s="251" t="s">
        <v>576</v>
      </c>
    </row>
    <row r="23" spans="1:13">
      <c r="A23" s="104"/>
      <c r="B23" s="104"/>
      <c r="C23" s="104"/>
    </row>
    <row r="24" spans="1:13">
      <c r="A24" s="104"/>
      <c r="B24" s="104"/>
      <c r="C24" s="104"/>
    </row>
    <row r="25" spans="1:13">
      <c r="A25" s="104"/>
      <c r="B25" s="104"/>
      <c r="C25" s="104"/>
    </row>
    <row r="26" spans="1:13">
      <c r="A26" s="104"/>
      <c r="B26" s="104"/>
      <c r="C26" s="104"/>
    </row>
    <row r="27" spans="1:13">
      <c r="A27" s="104"/>
      <c r="B27" s="104"/>
      <c r="C27" s="104"/>
    </row>
    <row r="28" spans="1:13">
      <c r="A28" s="104"/>
      <c r="B28" s="104"/>
      <c r="C28" s="104"/>
    </row>
    <row r="29" spans="1:13" ht="15">
      <c r="A29" s="104"/>
      <c r="B29" s="217"/>
      <c r="C29" s="217"/>
    </row>
  </sheetData>
  <mergeCells count="2">
    <mergeCell ref="I4:K4"/>
    <mergeCell ref="B2:L2"/>
  </mergeCells>
  <conditionalFormatting sqref="H6:H12">
    <cfRule type="containsText" dxfId="2" priority="1" operator="containsText" text="&gt;= 1.33 - No action required">
      <formula>NOT(ISERROR(SEARCH("&gt;= 1.33 - No action required",H6)))</formula>
    </cfRule>
    <cfRule type="containsText" dxfId="1" priority="2" operator="containsText" text="Between 1.0 and 1.32 - Caution">
      <formula>NOT(ISERROR(SEARCH("Between 1.0 and 1.32 - Caution",H6)))</formula>
    </cfRule>
    <cfRule type="containsText" dxfId="0" priority="3" operator="containsText" text="&lt; 1.0 - Action Plan Required">
      <formula>NOT(ISERROR(SEARCH("&lt; 1.0 - Action Plan Required",H6)))</formula>
    </cfRule>
  </conditionalFormatting>
  <dataValidations disablePrompts="1" count="3">
    <dataValidation type="list" allowBlank="1" showInputMessage="1" showErrorMessage="1" sqref="F6:F12" xr:uid="{00000000-0002-0000-1B00-000000000000}">
      <formula1>$M$7:$M$13</formula1>
    </dataValidation>
    <dataValidation type="list" allowBlank="1" showInputMessage="1" showErrorMessage="1" sqref="H6:H12" xr:uid="{00000000-0002-0000-1B00-000001000000}">
      <formula1>$M$16:$M$18</formula1>
    </dataValidation>
    <dataValidation type="list" allowBlank="1" showInputMessage="1" showErrorMessage="1" sqref="E6:E12" xr:uid="{00000000-0002-0000-1B00-000002000000}">
      <formula1>$M$21:$M$22</formula1>
    </dataValidation>
  </dataValidations>
  <pageMargins left="0.25" right="0.25" top="1.03125" bottom="0.75" header="0.3" footer="0.3"/>
  <pageSetup scale="67" fitToHeight="0" orientation="landscape" r:id="rId1"/>
  <headerFooter>
    <oddHeader>&amp;L&amp;G&amp;C&amp;"Arial,Bold"&amp;14PRODUCTION PART APPROVAL PROCESS</oddHeader>
    <oddFooter>&amp;C&amp;F</oddFooter>
  </headerFooter>
  <legacy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1"/>
  <dimension ref="A1:J49"/>
  <sheetViews>
    <sheetView showGridLines="0" showRowColHeaders="0" view="pageLayout" zoomScaleNormal="100" workbookViewId="0">
      <selection activeCell="A2" sqref="A2:I49"/>
    </sheetView>
  </sheetViews>
  <sheetFormatPr defaultColWidth="0" defaultRowHeight="12.75"/>
  <cols>
    <col min="1" max="10" width="9.140625" customWidth="1"/>
    <col min="11" max="16384" width="9.140625" hidden="1"/>
  </cols>
  <sheetData>
    <row r="1" spans="1:9">
      <c r="A1" s="580" t="s">
        <v>827</v>
      </c>
    </row>
    <row r="2" spans="1:9">
      <c r="A2" s="947"/>
      <c r="B2" s="948"/>
      <c r="C2" s="948"/>
      <c r="D2" s="948"/>
      <c r="E2" s="948"/>
      <c r="F2" s="948"/>
      <c r="G2" s="948"/>
      <c r="H2" s="948"/>
      <c r="I2" s="949"/>
    </row>
    <row r="3" spans="1:9">
      <c r="A3" s="950"/>
      <c r="B3" s="871"/>
      <c r="C3" s="871"/>
      <c r="D3" s="871"/>
      <c r="E3" s="871"/>
      <c r="F3" s="871"/>
      <c r="G3" s="871"/>
      <c r="H3" s="871"/>
      <c r="I3" s="951"/>
    </row>
    <row r="4" spans="1:9">
      <c r="A4" s="950"/>
      <c r="B4" s="871"/>
      <c r="C4" s="871"/>
      <c r="D4" s="871"/>
      <c r="E4" s="871"/>
      <c r="F4" s="871"/>
      <c r="G4" s="871"/>
      <c r="H4" s="871"/>
      <c r="I4" s="951"/>
    </row>
    <row r="5" spans="1:9">
      <c r="A5" s="950"/>
      <c r="B5" s="871"/>
      <c r="C5" s="871"/>
      <c r="D5" s="871"/>
      <c r="E5" s="871"/>
      <c r="F5" s="871"/>
      <c r="G5" s="871"/>
      <c r="H5" s="871"/>
      <c r="I5" s="951"/>
    </row>
    <row r="6" spans="1:9">
      <c r="A6" s="950"/>
      <c r="B6" s="871"/>
      <c r="C6" s="871"/>
      <c r="D6" s="871"/>
      <c r="E6" s="871"/>
      <c r="F6" s="871"/>
      <c r="G6" s="871"/>
      <c r="H6" s="871"/>
      <c r="I6" s="951"/>
    </row>
    <row r="7" spans="1:9">
      <c r="A7" s="950"/>
      <c r="B7" s="871"/>
      <c r="C7" s="871"/>
      <c r="D7" s="871"/>
      <c r="E7" s="871"/>
      <c r="F7" s="871"/>
      <c r="G7" s="871"/>
      <c r="H7" s="871"/>
      <c r="I7" s="951"/>
    </row>
    <row r="8" spans="1:9">
      <c r="A8" s="950"/>
      <c r="B8" s="871"/>
      <c r="C8" s="871"/>
      <c r="D8" s="871"/>
      <c r="E8" s="871"/>
      <c r="F8" s="871"/>
      <c r="G8" s="871"/>
      <c r="H8" s="871"/>
      <c r="I8" s="951"/>
    </row>
    <row r="9" spans="1:9">
      <c r="A9" s="950"/>
      <c r="B9" s="871"/>
      <c r="C9" s="871"/>
      <c r="D9" s="871"/>
      <c r="E9" s="871"/>
      <c r="F9" s="871"/>
      <c r="G9" s="871"/>
      <c r="H9" s="871"/>
      <c r="I9" s="951"/>
    </row>
    <row r="10" spans="1:9">
      <c r="A10" s="950"/>
      <c r="B10" s="871"/>
      <c r="C10" s="871"/>
      <c r="D10" s="871"/>
      <c r="E10" s="871"/>
      <c r="F10" s="871"/>
      <c r="G10" s="871"/>
      <c r="H10" s="871"/>
      <c r="I10" s="951"/>
    </row>
    <row r="11" spans="1:9">
      <c r="A11" s="950"/>
      <c r="B11" s="871"/>
      <c r="C11" s="871"/>
      <c r="D11" s="871"/>
      <c r="E11" s="871"/>
      <c r="F11" s="871"/>
      <c r="G11" s="871"/>
      <c r="H11" s="871"/>
      <c r="I11" s="951"/>
    </row>
    <row r="12" spans="1:9">
      <c r="A12" s="950"/>
      <c r="B12" s="871"/>
      <c r="C12" s="871"/>
      <c r="D12" s="871"/>
      <c r="E12" s="871"/>
      <c r="F12" s="871"/>
      <c r="G12" s="871"/>
      <c r="H12" s="871"/>
      <c r="I12" s="951"/>
    </row>
    <row r="13" spans="1:9">
      <c r="A13" s="950"/>
      <c r="B13" s="871"/>
      <c r="C13" s="871"/>
      <c r="D13" s="871"/>
      <c r="E13" s="871"/>
      <c r="F13" s="871"/>
      <c r="G13" s="871"/>
      <c r="H13" s="871"/>
      <c r="I13" s="951"/>
    </row>
    <row r="14" spans="1:9">
      <c r="A14" s="950"/>
      <c r="B14" s="871"/>
      <c r="C14" s="871"/>
      <c r="D14" s="871"/>
      <c r="E14" s="871"/>
      <c r="F14" s="871"/>
      <c r="G14" s="871"/>
      <c r="H14" s="871"/>
      <c r="I14" s="951"/>
    </row>
    <row r="15" spans="1:9">
      <c r="A15" s="950"/>
      <c r="B15" s="871"/>
      <c r="C15" s="871"/>
      <c r="D15" s="871"/>
      <c r="E15" s="871"/>
      <c r="F15" s="871"/>
      <c r="G15" s="871"/>
      <c r="H15" s="871"/>
      <c r="I15" s="951"/>
    </row>
    <row r="16" spans="1:9">
      <c r="A16" s="950"/>
      <c r="B16" s="871"/>
      <c r="C16" s="871"/>
      <c r="D16" s="871"/>
      <c r="E16" s="871"/>
      <c r="F16" s="871"/>
      <c r="G16" s="871"/>
      <c r="H16" s="871"/>
      <c r="I16" s="951"/>
    </row>
    <row r="17" spans="1:9">
      <c r="A17" s="950"/>
      <c r="B17" s="871"/>
      <c r="C17" s="871"/>
      <c r="D17" s="871"/>
      <c r="E17" s="871"/>
      <c r="F17" s="871"/>
      <c r="G17" s="871"/>
      <c r="H17" s="871"/>
      <c r="I17" s="951"/>
    </row>
    <row r="18" spans="1:9">
      <c r="A18" s="950"/>
      <c r="B18" s="871"/>
      <c r="C18" s="871"/>
      <c r="D18" s="871"/>
      <c r="E18" s="871"/>
      <c r="F18" s="871"/>
      <c r="G18" s="871"/>
      <c r="H18" s="871"/>
      <c r="I18" s="951"/>
    </row>
    <row r="19" spans="1:9">
      <c r="A19" s="950"/>
      <c r="B19" s="871"/>
      <c r="C19" s="871"/>
      <c r="D19" s="871"/>
      <c r="E19" s="871"/>
      <c r="F19" s="871"/>
      <c r="G19" s="871"/>
      <c r="H19" s="871"/>
      <c r="I19" s="951"/>
    </row>
    <row r="20" spans="1:9">
      <c r="A20" s="950"/>
      <c r="B20" s="871"/>
      <c r="C20" s="871"/>
      <c r="D20" s="871"/>
      <c r="E20" s="871"/>
      <c r="F20" s="871"/>
      <c r="G20" s="871"/>
      <c r="H20" s="871"/>
      <c r="I20" s="951"/>
    </row>
    <row r="21" spans="1:9">
      <c r="A21" s="950"/>
      <c r="B21" s="871"/>
      <c r="C21" s="871"/>
      <c r="D21" s="871"/>
      <c r="E21" s="871"/>
      <c r="F21" s="871"/>
      <c r="G21" s="871"/>
      <c r="H21" s="871"/>
      <c r="I21" s="951"/>
    </row>
    <row r="22" spans="1:9">
      <c r="A22" s="950"/>
      <c r="B22" s="871"/>
      <c r="C22" s="871"/>
      <c r="D22" s="871"/>
      <c r="E22" s="871"/>
      <c r="F22" s="871"/>
      <c r="G22" s="871"/>
      <c r="H22" s="871"/>
      <c r="I22" s="951"/>
    </row>
    <row r="23" spans="1:9">
      <c r="A23" s="950"/>
      <c r="B23" s="871"/>
      <c r="C23" s="871"/>
      <c r="D23" s="871"/>
      <c r="E23" s="871"/>
      <c r="F23" s="871"/>
      <c r="G23" s="871"/>
      <c r="H23" s="871"/>
      <c r="I23" s="951"/>
    </row>
    <row r="24" spans="1:9">
      <c r="A24" s="950"/>
      <c r="B24" s="871"/>
      <c r="C24" s="871"/>
      <c r="D24" s="871"/>
      <c r="E24" s="871"/>
      <c r="F24" s="871"/>
      <c r="G24" s="871"/>
      <c r="H24" s="871"/>
      <c r="I24" s="951"/>
    </row>
    <row r="25" spans="1:9">
      <c r="A25" s="950"/>
      <c r="B25" s="871"/>
      <c r="C25" s="871"/>
      <c r="D25" s="871"/>
      <c r="E25" s="871"/>
      <c r="F25" s="871"/>
      <c r="G25" s="871"/>
      <c r="H25" s="871"/>
      <c r="I25" s="951"/>
    </row>
    <row r="26" spans="1:9">
      <c r="A26" s="950"/>
      <c r="B26" s="871"/>
      <c r="C26" s="871"/>
      <c r="D26" s="871"/>
      <c r="E26" s="871"/>
      <c r="F26" s="871"/>
      <c r="G26" s="871"/>
      <c r="H26" s="871"/>
      <c r="I26" s="951"/>
    </row>
    <row r="27" spans="1:9">
      <c r="A27" s="950"/>
      <c r="B27" s="871"/>
      <c r="C27" s="871"/>
      <c r="D27" s="871"/>
      <c r="E27" s="871"/>
      <c r="F27" s="871"/>
      <c r="G27" s="871"/>
      <c r="H27" s="871"/>
      <c r="I27" s="951"/>
    </row>
    <row r="28" spans="1:9">
      <c r="A28" s="950"/>
      <c r="B28" s="871"/>
      <c r="C28" s="871"/>
      <c r="D28" s="871"/>
      <c r="E28" s="871"/>
      <c r="F28" s="871"/>
      <c r="G28" s="871"/>
      <c r="H28" s="871"/>
      <c r="I28" s="951"/>
    </row>
    <row r="29" spans="1:9">
      <c r="A29" s="950"/>
      <c r="B29" s="871"/>
      <c r="C29" s="871"/>
      <c r="D29" s="871"/>
      <c r="E29" s="871"/>
      <c r="F29" s="871"/>
      <c r="G29" s="871"/>
      <c r="H29" s="871"/>
      <c r="I29" s="951"/>
    </row>
    <row r="30" spans="1:9">
      <c r="A30" s="950"/>
      <c r="B30" s="871"/>
      <c r="C30" s="871"/>
      <c r="D30" s="871"/>
      <c r="E30" s="871"/>
      <c r="F30" s="871"/>
      <c r="G30" s="871"/>
      <c r="H30" s="871"/>
      <c r="I30" s="951"/>
    </row>
    <row r="31" spans="1:9">
      <c r="A31" s="950"/>
      <c r="B31" s="871"/>
      <c r="C31" s="871"/>
      <c r="D31" s="871"/>
      <c r="E31" s="871"/>
      <c r="F31" s="871"/>
      <c r="G31" s="871"/>
      <c r="H31" s="871"/>
      <c r="I31" s="951"/>
    </row>
    <row r="32" spans="1:9">
      <c r="A32" s="950"/>
      <c r="B32" s="871"/>
      <c r="C32" s="871"/>
      <c r="D32" s="871"/>
      <c r="E32" s="871"/>
      <c r="F32" s="871"/>
      <c r="G32" s="871"/>
      <c r="H32" s="871"/>
      <c r="I32" s="951"/>
    </row>
    <row r="33" spans="1:9">
      <c r="A33" s="950"/>
      <c r="B33" s="871"/>
      <c r="C33" s="871"/>
      <c r="D33" s="871"/>
      <c r="E33" s="871"/>
      <c r="F33" s="871"/>
      <c r="G33" s="871"/>
      <c r="H33" s="871"/>
      <c r="I33" s="951"/>
    </row>
    <row r="34" spans="1:9">
      <c r="A34" s="950"/>
      <c r="B34" s="871"/>
      <c r="C34" s="871"/>
      <c r="D34" s="871"/>
      <c r="E34" s="871"/>
      <c r="F34" s="871"/>
      <c r="G34" s="871"/>
      <c r="H34" s="871"/>
      <c r="I34" s="951"/>
    </row>
    <row r="35" spans="1:9">
      <c r="A35" s="950"/>
      <c r="B35" s="871"/>
      <c r="C35" s="871"/>
      <c r="D35" s="871"/>
      <c r="E35" s="871"/>
      <c r="F35" s="871"/>
      <c r="G35" s="871"/>
      <c r="H35" s="871"/>
      <c r="I35" s="951"/>
    </row>
    <row r="36" spans="1:9">
      <c r="A36" s="950"/>
      <c r="B36" s="871"/>
      <c r="C36" s="871"/>
      <c r="D36" s="871"/>
      <c r="E36" s="871"/>
      <c r="F36" s="871"/>
      <c r="G36" s="871"/>
      <c r="H36" s="871"/>
      <c r="I36" s="951"/>
    </row>
    <row r="37" spans="1:9">
      <c r="A37" s="950"/>
      <c r="B37" s="871"/>
      <c r="C37" s="871"/>
      <c r="D37" s="871"/>
      <c r="E37" s="871"/>
      <c r="F37" s="871"/>
      <c r="G37" s="871"/>
      <c r="H37" s="871"/>
      <c r="I37" s="951"/>
    </row>
    <row r="38" spans="1:9">
      <c r="A38" s="950"/>
      <c r="B38" s="871"/>
      <c r="C38" s="871"/>
      <c r="D38" s="871"/>
      <c r="E38" s="871"/>
      <c r="F38" s="871"/>
      <c r="G38" s="871"/>
      <c r="H38" s="871"/>
      <c r="I38" s="951"/>
    </row>
    <row r="39" spans="1:9">
      <c r="A39" s="950"/>
      <c r="B39" s="871"/>
      <c r="C39" s="871"/>
      <c r="D39" s="871"/>
      <c r="E39" s="871"/>
      <c r="F39" s="871"/>
      <c r="G39" s="871"/>
      <c r="H39" s="871"/>
      <c r="I39" s="951"/>
    </row>
    <row r="40" spans="1:9">
      <c r="A40" s="950"/>
      <c r="B40" s="871"/>
      <c r="C40" s="871"/>
      <c r="D40" s="871"/>
      <c r="E40" s="871"/>
      <c r="F40" s="871"/>
      <c r="G40" s="871"/>
      <c r="H40" s="871"/>
      <c r="I40" s="951"/>
    </row>
    <row r="41" spans="1:9">
      <c r="A41" s="950"/>
      <c r="B41" s="871"/>
      <c r="C41" s="871"/>
      <c r="D41" s="871"/>
      <c r="E41" s="871"/>
      <c r="F41" s="871"/>
      <c r="G41" s="871"/>
      <c r="H41" s="871"/>
      <c r="I41" s="951"/>
    </row>
    <row r="42" spans="1:9">
      <c r="A42" s="950"/>
      <c r="B42" s="871"/>
      <c r="C42" s="871"/>
      <c r="D42" s="871"/>
      <c r="E42" s="871"/>
      <c r="F42" s="871"/>
      <c r="G42" s="871"/>
      <c r="H42" s="871"/>
      <c r="I42" s="951"/>
    </row>
    <row r="43" spans="1:9">
      <c r="A43" s="950"/>
      <c r="B43" s="871"/>
      <c r="C43" s="871"/>
      <c r="D43" s="871"/>
      <c r="E43" s="871"/>
      <c r="F43" s="871"/>
      <c r="G43" s="871"/>
      <c r="H43" s="871"/>
      <c r="I43" s="951"/>
    </row>
    <row r="44" spans="1:9">
      <c r="A44" s="950"/>
      <c r="B44" s="871"/>
      <c r="C44" s="871"/>
      <c r="D44" s="871"/>
      <c r="E44" s="871"/>
      <c r="F44" s="871"/>
      <c r="G44" s="871"/>
      <c r="H44" s="871"/>
      <c r="I44" s="951"/>
    </row>
    <row r="45" spans="1:9">
      <c r="A45" s="950"/>
      <c r="B45" s="871"/>
      <c r="C45" s="871"/>
      <c r="D45" s="871"/>
      <c r="E45" s="871"/>
      <c r="F45" s="871"/>
      <c r="G45" s="871"/>
      <c r="H45" s="871"/>
      <c r="I45" s="951"/>
    </row>
    <row r="46" spans="1:9">
      <c r="A46" s="950"/>
      <c r="B46" s="871"/>
      <c r="C46" s="871"/>
      <c r="D46" s="871"/>
      <c r="E46" s="871"/>
      <c r="F46" s="871"/>
      <c r="G46" s="871"/>
      <c r="H46" s="871"/>
      <c r="I46" s="951"/>
    </row>
    <row r="47" spans="1:9">
      <c r="A47" s="950"/>
      <c r="B47" s="871"/>
      <c r="C47" s="871"/>
      <c r="D47" s="871"/>
      <c r="E47" s="871"/>
      <c r="F47" s="871"/>
      <c r="G47" s="871"/>
      <c r="H47" s="871"/>
      <c r="I47" s="951"/>
    </row>
    <row r="48" spans="1:9">
      <c r="A48" s="950"/>
      <c r="B48" s="871"/>
      <c r="C48" s="871"/>
      <c r="D48" s="871"/>
      <c r="E48" s="871"/>
      <c r="F48" s="871"/>
      <c r="G48" s="871"/>
      <c r="H48" s="871"/>
      <c r="I48" s="951"/>
    </row>
    <row r="49" spans="1:9">
      <c r="A49" s="865"/>
      <c r="B49" s="866"/>
      <c r="C49" s="866"/>
      <c r="D49" s="866"/>
      <c r="E49" s="866"/>
      <c r="F49" s="866"/>
      <c r="G49" s="866"/>
      <c r="H49" s="866"/>
      <c r="I49" s="867"/>
    </row>
  </sheetData>
  <mergeCells count="1">
    <mergeCell ref="A2:I49"/>
  </mergeCells>
  <pageMargins left="0.7" right="0.7" top="1.3958333333333333" bottom="0.75" header="0.3" footer="0.3"/>
  <pageSetup orientation="portrait" r:id="rId1"/>
  <headerFooter>
    <oddHeader>&amp;L&amp;G&amp;C&amp;"Arial,Bold"&amp;14  LAB 
DOCUMENTATION</oddHeader>
    <oddFooter>&amp;C&amp;F</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pageSetUpPr fitToPage="1"/>
  </sheetPr>
  <dimension ref="A1:Z39"/>
  <sheetViews>
    <sheetView showGridLines="0" showRowColHeaders="0" view="pageLayout" zoomScaleNormal="100" workbookViewId="0">
      <selection activeCell="O16" sqref="O16:T16"/>
    </sheetView>
  </sheetViews>
  <sheetFormatPr defaultColWidth="0" defaultRowHeight="12.75"/>
  <cols>
    <col min="1" max="5" width="5" customWidth="1"/>
    <col min="6" max="6" width="5.85546875" customWidth="1"/>
    <col min="7" max="9" width="6.7109375" customWidth="1"/>
    <col min="10" max="10" width="6.5703125" customWidth="1"/>
    <col min="11" max="16" width="5.5703125" customWidth="1"/>
    <col min="17" max="18" width="6.140625" customWidth="1"/>
    <col min="19" max="19" width="4.7109375" bestFit="1" customWidth="1"/>
    <col min="20" max="20" width="5.140625" customWidth="1"/>
    <col min="21" max="22" width="6.85546875" customWidth="1"/>
    <col min="23" max="23" width="9.42578125" customWidth="1"/>
    <col min="24" max="26" width="0.140625" customWidth="1"/>
    <col min="27" max="16384" width="8.85546875" hidden="1"/>
  </cols>
  <sheetData>
    <row r="1" spans="1:24" ht="18">
      <c r="H1" s="14"/>
    </row>
    <row r="2" spans="1:24" ht="17.45" customHeight="1">
      <c r="A2" s="860" t="s">
        <v>828</v>
      </c>
      <c r="B2" s="860"/>
      <c r="C2" s="860"/>
      <c r="D2" s="860"/>
      <c r="E2" s="860"/>
      <c r="F2" s="860"/>
      <c r="G2" s="860"/>
      <c r="H2" s="860"/>
      <c r="I2" s="860"/>
      <c r="J2" s="860"/>
      <c r="K2" s="860"/>
      <c r="L2" s="860"/>
      <c r="M2" s="860"/>
      <c r="N2" s="860"/>
      <c r="O2" s="860"/>
      <c r="P2" s="860"/>
      <c r="Q2" s="860"/>
      <c r="R2" s="860"/>
      <c r="S2" s="860"/>
      <c r="T2" s="860"/>
      <c r="U2" s="860"/>
      <c r="V2" s="860"/>
      <c r="W2" s="860"/>
      <c r="X2" s="860"/>
    </row>
    <row r="3" spans="1:24" ht="6" customHeight="1">
      <c r="A3" s="203"/>
      <c r="B3" s="203"/>
      <c r="C3" s="203"/>
    </row>
    <row r="4" spans="1:24" ht="18.600000000000001" customHeight="1" thickBot="1">
      <c r="A4" s="613"/>
      <c r="B4" s="614"/>
      <c r="C4" s="614"/>
      <c r="D4" s="614"/>
      <c r="E4" s="614"/>
      <c r="F4" s="614"/>
      <c r="G4" s="614"/>
      <c r="H4" s="614"/>
      <c r="I4" s="614"/>
      <c r="J4" s="614"/>
      <c r="K4" s="614"/>
      <c r="L4" s="614"/>
      <c r="M4" s="614"/>
      <c r="N4" s="614"/>
      <c r="O4" s="614"/>
      <c r="P4" s="614"/>
      <c r="Q4" s="614"/>
      <c r="R4" s="614"/>
      <c r="S4" s="614"/>
      <c r="T4" s="614"/>
      <c r="U4" s="614"/>
      <c r="V4" s="614"/>
      <c r="W4" s="614"/>
      <c r="X4" s="614"/>
    </row>
    <row r="5" spans="1:24" ht="13.9" customHeight="1">
      <c r="B5" s="19"/>
      <c r="C5" s="599" t="s">
        <v>823</v>
      </c>
      <c r="D5" s="600"/>
      <c r="E5" s="600"/>
      <c r="F5" s="959">
        <f>'Header Info'!C12</f>
        <v>0</v>
      </c>
      <c r="G5" s="959"/>
      <c r="H5" s="959"/>
      <c r="I5" s="959"/>
      <c r="J5" s="959"/>
      <c r="K5" s="959"/>
      <c r="L5" s="961"/>
      <c r="M5" s="601" t="s">
        <v>565</v>
      </c>
      <c r="N5" s="602"/>
      <c r="O5" s="602"/>
      <c r="P5" s="959">
        <f>'Header Info'!C8</f>
        <v>0</v>
      </c>
      <c r="Q5" s="959"/>
      <c r="R5" s="959"/>
      <c r="S5" s="959"/>
      <c r="T5" s="959"/>
      <c r="U5" s="959"/>
      <c r="V5" s="960"/>
      <c r="W5" s="603"/>
      <c r="X5" s="603"/>
    </row>
    <row r="6" spans="1:24" ht="13.9" customHeight="1">
      <c r="C6" s="18" t="s">
        <v>824</v>
      </c>
      <c r="D6" s="4"/>
      <c r="E6" s="4"/>
      <c r="F6" s="921">
        <f>'Header Info'!C13</f>
        <v>0</v>
      </c>
      <c r="G6" s="921"/>
      <c r="H6" s="921"/>
      <c r="I6" s="104"/>
      <c r="J6" s="104"/>
      <c r="K6" s="104"/>
      <c r="L6" s="576"/>
      <c r="M6" s="598" t="s">
        <v>133</v>
      </c>
      <c r="N6" s="597"/>
      <c r="O6" s="900">
        <f>'Header Info'!C7</f>
        <v>0</v>
      </c>
      <c r="P6" s="900"/>
      <c r="Q6" s="900"/>
      <c r="R6" s="900"/>
      <c r="S6" s="900"/>
      <c r="T6" s="900"/>
      <c r="U6" s="900"/>
      <c r="V6" s="965"/>
      <c r="W6" s="603"/>
      <c r="X6" s="603"/>
    </row>
    <row r="7" spans="1:24" ht="13.9" customHeight="1">
      <c r="C7" s="592" t="s">
        <v>375</v>
      </c>
      <c r="D7" s="597"/>
      <c r="E7" s="597"/>
      <c r="F7" s="597"/>
      <c r="G7" s="900"/>
      <c r="H7" s="900"/>
      <c r="I7" s="900"/>
      <c r="J7" s="900"/>
      <c r="K7" s="900"/>
      <c r="L7" s="912"/>
      <c r="M7" s="598" t="s">
        <v>826</v>
      </c>
      <c r="N7" s="4"/>
      <c r="O7" s="4"/>
      <c r="P7" s="4"/>
      <c r="Q7" s="921">
        <f>'Header Info'!C10</f>
        <v>0</v>
      </c>
      <c r="R7" s="921"/>
      <c r="S7" s="921"/>
      <c r="T7" s="921"/>
      <c r="U7" s="921"/>
      <c r="V7" s="964"/>
      <c r="W7" s="591"/>
      <c r="X7" s="591"/>
    </row>
    <row r="8" spans="1:24" ht="13.9" customHeight="1">
      <c r="C8" s="592" t="s">
        <v>373</v>
      </c>
      <c r="K8" s="104"/>
      <c r="L8" s="576"/>
      <c r="M8" s="187" t="s">
        <v>370</v>
      </c>
      <c r="R8" s="827"/>
      <c r="S8" s="827"/>
      <c r="T8" s="827"/>
      <c r="U8" s="827"/>
      <c r="V8" s="963"/>
      <c r="W8" s="591"/>
      <c r="X8" s="591"/>
    </row>
    <row r="9" spans="1:24" ht="13.9" customHeight="1" thickBot="1">
      <c r="C9" s="593" t="s">
        <v>374</v>
      </c>
      <c r="D9" s="20"/>
      <c r="E9" s="20"/>
      <c r="F9" s="20"/>
      <c r="G9" s="20"/>
      <c r="H9" s="20"/>
      <c r="I9" s="20"/>
      <c r="J9" s="20"/>
      <c r="K9" s="20"/>
      <c r="L9" s="25"/>
      <c r="M9" s="594"/>
      <c r="N9" s="595"/>
      <c r="O9" s="595"/>
      <c r="P9" s="595"/>
      <c r="Q9" s="595"/>
      <c r="R9" s="595"/>
      <c r="S9" s="595"/>
      <c r="T9" s="595"/>
      <c r="U9" s="595"/>
      <c r="V9" s="596"/>
      <c r="W9" s="591"/>
      <c r="X9" s="591"/>
    </row>
    <row r="10" spans="1:24" ht="15.6" customHeight="1">
      <c r="A10" s="590"/>
      <c r="B10" s="591"/>
      <c r="C10" s="591"/>
      <c r="D10" s="591"/>
      <c r="E10" s="591"/>
      <c r="F10" s="591"/>
      <c r="G10" s="591"/>
      <c r="H10" s="591"/>
      <c r="I10" s="591"/>
      <c r="J10" s="591"/>
      <c r="K10" s="591"/>
      <c r="L10" s="591"/>
      <c r="M10" s="591"/>
      <c r="N10" s="591"/>
      <c r="O10" s="591"/>
      <c r="P10" s="591"/>
      <c r="Q10" s="591"/>
      <c r="R10" s="591"/>
      <c r="S10" s="591"/>
      <c r="T10" s="591"/>
      <c r="U10" s="591"/>
      <c r="V10" s="591"/>
      <c r="W10" s="591"/>
      <c r="X10" s="591"/>
    </row>
    <row r="11" spans="1:24" ht="20.25" thickBot="1">
      <c r="A11" s="962" t="s">
        <v>829</v>
      </c>
      <c r="B11" s="962"/>
      <c r="C11" s="962"/>
      <c r="D11" s="962"/>
      <c r="E11" s="962"/>
      <c r="F11" s="962"/>
      <c r="G11" s="962"/>
      <c r="H11" s="962"/>
      <c r="I11" s="962"/>
      <c r="J11" s="962"/>
      <c r="K11" s="962"/>
      <c r="L11" s="962"/>
      <c r="M11" s="962"/>
      <c r="N11" s="962"/>
      <c r="O11" s="962"/>
      <c r="P11" s="962"/>
      <c r="Q11" s="962"/>
      <c r="R11" s="962"/>
      <c r="S11" s="962"/>
      <c r="T11" s="962"/>
      <c r="U11" s="962"/>
      <c r="V11" s="962"/>
      <c r="W11" s="962"/>
      <c r="X11" s="962"/>
    </row>
    <row r="12" spans="1:24" ht="13.9" customHeight="1">
      <c r="A12" s="969" t="s">
        <v>830</v>
      </c>
      <c r="B12" s="970"/>
      <c r="C12" s="970"/>
      <c r="D12" s="970"/>
      <c r="E12" s="970"/>
      <c r="F12" s="970"/>
      <c r="G12" s="970"/>
      <c r="H12" s="970"/>
      <c r="I12" s="970"/>
      <c r="J12" s="970"/>
      <c r="K12" s="970"/>
      <c r="L12" s="970"/>
      <c r="M12" s="970"/>
      <c r="N12" s="971"/>
      <c r="O12" s="952" t="s">
        <v>831</v>
      </c>
      <c r="P12" s="952"/>
      <c r="Q12" s="952"/>
      <c r="R12" s="952"/>
      <c r="S12" s="952"/>
      <c r="T12" s="953"/>
      <c r="U12" s="952" t="s">
        <v>832</v>
      </c>
      <c r="V12" s="952"/>
      <c r="W12" s="952"/>
      <c r="X12" s="953"/>
    </row>
    <row r="13" spans="1:24" ht="13.9" customHeight="1">
      <c r="A13" s="972"/>
      <c r="B13" s="973"/>
      <c r="C13" s="973"/>
      <c r="D13" s="973"/>
      <c r="E13" s="973"/>
      <c r="F13" s="973"/>
      <c r="G13" s="973"/>
      <c r="H13" s="973"/>
      <c r="I13" s="973"/>
      <c r="J13" s="973"/>
      <c r="K13" s="973"/>
      <c r="L13" s="973"/>
      <c r="M13" s="973"/>
      <c r="N13" s="974"/>
      <c r="O13" s="954"/>
      <c r="P13" s="954"/>
      <c r="Q13" s="954"/>
      <c r="R13" s="954"/>
      <c r="S13" s="954"/>
      <c r="T13" s="955"/>
      <c r="U13" s="954"/>
      <c r="V13" s="954"/>
      <c r="W13" s="954"/>
      <c r="X13" s="955"/>
    </row>
    <row r="14" spans="1:24" ht="13.15" customHeight="1">
      <c r="A14" s="978"/>
      <c r="B14" s="915"/>
      <c r="C14" s="915"/>
      <c r="D14" s="915"/>
      <c r="E14" s="915"/>
      <c r="F14" s="915"/>
      <c r="G14" s="915"/>
      <c r="H14" s="915"/>
      <c r="I14" s="915"/>
      <c r="J14" s="915"/>
      <c r="K14" s="915"/>
      <c r="L14" s="915"/>
      <c r="M14" s="915"/>
      <c r="N14" s="979"/>
      <c r="O14" s="956"/>
      <c r="P14" s="957"/>
      <c r="Q14" s="957"/>
      <c r="R14" s="957"/>
      <c r="S14" s="957"/>
      <c r="T14" s="958"/>
      <c r="U14" s="956"/>
      <c r="V14" s="957"/>
      <c r="W14" s="957"/>
      <c r="X14" s="958"/>
    </row>
    <row r="15" spans="1:24" ht="13.15" customHeight="1">
      <c r="A15" s="978"/>
      <c r="B15" s="915"/>
      <c r="C15" s="915"/>
      <c r="D15" s="915"/>
      <c r="E15" s="915"/>
      <c r="F15" s="915"/>
      <c r="G15" s="915"/>
      <c r="H15" s="915"/>
      <c r="I15" s="915"/>
      <c r="J15" s="915"/>
      <c r="K15" s="915"/>
      <c r="L15" s="915"/>
      <c r="M15" s="915"/>
      <c r="N15" s="979"/>
      <c r="O15" s="956"/>
      <c r="P15" s="957"/>
      <c r="Q15" s="957"/>
      <c r="R15" s="957"/>
      <c r="S15" s="957"/>
      <c r="T15" s="958"/>
      <c r="U15" s="956"/>
      <c r="V15" s="957"/>
      <c r="W15" s="957"/>
      <c r="X15" s="958"/>
    </row>
    <row r="16" spans="1:24" ht="13.15" customHeight="1">
      <c r="A16" s="978"/>
      <c r="B16" s="915"/>
      <c r="C16" s="915"/>
      <c r="D16" s="915"/>
      <c r="E16" s="915"/>
      <c r="F16" s="915"/>
      <c r="G16" s="915"/>
      <c r="H16" s="915"/>
      <c r="I16" s="915"/>
      <c r="J16" s="915"/>
      <c r="K16" s="915"/>
      <c r="L16" s="915"/>
      <c r="M16" s="915"/>
      <c r="N16" s="979"/>
      <c r="O16" s="956"/>
      <c r="P16" s="957"/>
      <c r="Q16" s="957"/>
      <c r="R16" s="957"/>
      <c r="S16" s="957"/>
      <c r="T16" s="958"/>
      <c r="U16" s="956"/>
      <c r="V16" s="957"/>
      <c r="W16" s="957"/>
      <c r="X16" s="958"/>
    </row>
    <row r="17" spans="1:24" ht="13.15" customHeight="1">
      <c r="A17" s="978"/>
      <c r="B17" s="915"/>
      <c r="C17" s="915"/>
      <c r="D17" s="915"/>
      <c r="E17" s="915"/>
      <c r="F17" s="915"/>
      <c r="G17" s="915"/>
      <c r="H17" s="915"/>
      <c r="I17" s="915"/>
      <c r="J17" s="915"/>
      <c r="K17" s="915"/>
      <c r="L17" s="915"/>
      <c r="M17" s="915"/>
      <c r="N17" s="979"/>
      <c r="O17" s="956"/>
      <c r="P17" s="957"/>
      <c r="Q17" s="957"/>
      <c r="R17" s="957"/>
      <c r="S17" s="957"/>
      <c r="T17" s="958"/>
      <c r="U17" s="956"/>
      <c r="V17" s="957"/>
      <c r="W17" s="957"/>
      <c r="X17" s="958"/>
    </row>
    <row r="18" spans="1:24" ht="13.15" customHeight="1">
      <c r="A18" s="978"/>
      <c r="B18" s="915"/>
      <c r="C18" s="915"/>
      <c r="D18" s="915"/>
      <c r="E18" s="915"/>
      <c r="F18" s="915"/>
      <c r="G18" s="915"/>
      <c r="H18" s="915"/>
      <c r="I18" s="915"/>
      <c r="J18" s="915"/>
      <c r="K18" s="915"/>
      <c r="L18" s="915"/>
      <c r="M18" s="915"/>
      <c r="N18" s="979"/>
      <c r="O18" s="956"/>
      <c r="P18" s="957"/>
      <c r="Q18" s="957"/>
      <c r="R18" s="957"/>
      <c r="S18" s="957"/>
      <c r="T18" s="958"/>
      <c r="U18" s="956"/>
      <c r="V18" s="957"/>
      <c r="W18" s="957"/>
      <c r="X18" s="958"/>
    </row>
    <row r="19" spans="1:24" ht="13.9" customHeight="1" thickBot="1">
      <c r="A19" s="975"/>
      <c r="B19" s="976"/>
      <c r="C19" s="976"/>
      <c r="D19" s="976"/>
      <c r="E19" s="976"/>
      <c r="F19" s="976"/>
      <c r="G19" s="976"/>
      <c r="H19" s="976"/>
      <c r="I19" s="976"/>
      <c r="J19" s="976"/>
      <c r="K19" s="976"/>
      <c r="L19" s="976"/>
      <c r="M19" s="976"/>
      <c r="N19" s="977"/>
      <c r="O19" s="966"/>
      <c r="P19" s="967"/>
      <c r="Q19" s="967"/>
      <c r="R19" s="967"/>
      <c r="S19" s="967"/>
      <c r="T19" s="968"/>
      <c r="U19" s="966"/>
      <c r="V19" s="967"/>
      <c r="W19" s="967"/>
      <c r="X19" s="968"/>
    </row>
    <row r="20" spans="1:24" ht="20.25" thickBot="1">
      <c r="A20" s="999" t="s">
        <v>833</v>
      </c>
      <c r="B20" s="999"/>
      <c r="C20" s="999"/>
      <c r="D20" s="999"/>
      <c r="E20" s="999"/>
      <c r="F20" s="999"/>
      <c r="G20" s="999"/>
      <c r="H20" s="999"/>
      <c r="I20" s="999"/>
      <c r="J20" s="999"/>
      <c r="K20" s="999"/>
      <c r="L20" s="999"/>
      <c r="M20" s="999"/>
      <c r="N20" s="999"/>
      <c r="O20" s="999"/>
      <c r="P20" s="999"/>
      <c r="Q20" s="999"/>
      <c r="R20" s="999"/>
      <c r="S20" s="999"/>
      <c r="T20" s="999"/>
      <c r="U20" s="999"/>
      <c r="V20" s="999"/>
      <c r="W20" s="999"/>
      <c r="X20" s="999"/>
    </row>
    <row r="21" spans="1:24" ht="16.5">
      <c r="A21" s="1000" t="s">
        <v>834</v>
      </c>
      <c r="B21" s="995" t="s">
        <v>835</v>
      </c>
      <c r="C21" s="996"/>
      <c r="D21" s="996"/>
      <c r="E21" s="996"/>
      <c r="F21" s="1002"/>
      <c r="G21" s="998" t="s">
        <v>836</v>
      </c>
      <c r="H21" s="1004" t="s">
        <v>837</v>
      </c>
      <c r="I21" s="1004" t="s">
        <v>838</v>
      </c>
      <c r="J21" s="993" t="s">
        <v>839</v>
      </c>
      <c r="K21" s="995" t="s">
        <v>840</v>
      </c>
      <c r="L21" s="996"/>
      <c r="M21" s="996"/>
      <c r="N21" s="997"/>
      <c r="O21" s="995" t="s">
        <v>841</v>
      </c>
      <c r="P21" s="997"/>
      <c r="Q21" s="995" t="s">
        <v>842</v>
      </c>
      <c r="R21" s="997"/>
      <c r="S21" s="995" t="s">
        <v>843</v>
      </c>
      <c r="T21" s="997"/>
      <c r="U21" s="998" t="s">
        <v>844</v>
      </c>
      <c r="V21" s="993"/>
      <c r="W21" s="984" t="s">
        <v>845</v>
      </c>
      <c r="X21" s="986" t="s">
        <v>846</v>
      </c>
    </row>
    <row r="22" spans="1:24" ht="28.9" customHeight="1">
      <c r="A22" s="1001"/>
      <c r="B22" s="606" t="s">
        <v>847</v>
      </c>
      <c r="C22" s="581" t="s">
        <v>848</v>
      </c>
      <c r="D22" s="581" t="s">
        <v>849</v>
      </c>
      <c r="E22" s="581" t="s">
        <v>850</v>
      </c>
      <c r="F22" s="584" t="s">
        <v>851</v>
      </c>
      <c r="G22" s="1003"/>
      <c r="H22" s="1005"/>
      <c r="I22" s="1005"/>
      <c r="J22" s="994"/>
      <c r="K22" s="582" t="s">
        <v>852</v>
      </c>
      <c r="L22" s="583" t="s">
        <v>853</v>
      </c>
      <c r="M22" s="583" t="s">
        <v>854</v>
      </c>
      <c r="N22" s="612" t="s">
        <v>855</v>
      </c>
      <c r="O22" s="606" t="s">
        <v>856</v>
      </c>
      <c r="P22" s="584" t="s">
        <v>857</v>
      </c>
      <c r="Q22" s="606" t="s">
        <v>858</v>
      </c>
      <c r="R22" s="584" t="s">
        <v>859</v>
      </c>
      <c r="S22" s="606" t="s">
        <v>860</v>
      </c>
      <c r="T22" s="584" t="s">
        <v>861</v>
      </c>
      <c r="U22" s="606" t="s">
        <v>860</v>
      </c>
      <c r="V22" s="584" t="s">
        <v>861</v>
      </c>
      <c r="W22" s="985"/>
      <c r="X22" s="987"/>
    </row>
    <row r="23" spans="1:24">
      <c r="A23" s="604"/>
      <c r="B23" s="585"/>
      <c r="C23" s="267"/>
      <c r="D23" s="267"/>
      <c r="E23" s="267"/>
      <c r="F23" s="586"/>
      <c r="G23" s="585"/>
      <c r="H23" s="267"/>
      <c r="I23" s="267"/>
      <c r="J23" s="586"/>
      <c r="K23" s="585"/>
      <c r="L23" s="267"/>
      <c r="M23" s="267"/>
      <c r="N23" s="586"/>
      <c r="O23" s="585"/>
      <c r="P23" s="586"/>
      <c r="Q23" s="585"/>
      <c r="R23" s="586"/>
      <c r="S23" s="585"/>
      <c r="T23" s="586"/>
      <c r="U23" s="585"/>
      <c r="V23" s="586"/>
      <c r="W23" s="605"/>
      <c r="X23" s="586"/>
    </row>
    <row r="24" spans="1:24">
      <c r="A24" s="604"/>
      <c r="B24" s="585"/>
      <c r="C24" s="267"/>
      <c r="D24" s="267"/>
      <c r="E24" s="267"/>
      <c r="F24" s="586"/>
      <c r="G24" s="585"/>
      <c r="H24" s="267"/>
      <c r="I24" s="267"/>
      <c r="J24" s="586"/>
      <c r="K24" s="585"/>
      <c r="L24" s="267"/>
      <c r="M24" s="267"/>
      <c r="N24" s="586"/>
      <c r="O24" s="585"/>
      <c r="P24" s="586"/>
      <c r="Q24" s="585"/>
      <c r="R24" s="586"/>
      <c r="S24" s="585"/>
      <c r="T24" s="586"/>
      <c r="U24" s="585"/>
      <c r="V24" s="586"/>
      <c r="W24" s="605"/>
      <c r="X24" s="586"/>
    </row>
    <row r="25" spans="1:24">
      <c r="A25" s="604"/>
      <c r="B25" s="585"/>
      <c r="C25" s="267"/>
      <c r="D25" s="267"/>
      <c r="E25" s="267"/>
      <c r="F25" s="586"/>
      <c r="G25" s="585"/>
      <c r="H25" s="267"/>
      <c r="I25" s="267"/>
      <c r="J25" s="586"/>
      <c r="K25" s="585"/>
      <c r="L25" s="267"/>
      <c r="M25" s="267"/>
      <c r="N25" s="586"/>
      <c r="O25" s="585"/>
      <c r="P25" s="586"/>
      <c r="Q25" s="585"/>
      <c r="R25" s="586"/>
      <c r="S25" s="585"/>
      <c r="T25" s="586"/>
      <c r="U25" s="585"/>
      <c r="V25" s="586"/>
      <c r="W25" s="605"/>
      <c r="X25" s="586"/>
    </row>
    <row r="26" spans="1:24">
      <c r="A26" s="604"/>
      <c r="B26" s="585"/>
      <c r="C26" s="267"/>
      <c r="D26" s="267"/>
      <c r="E26" s="267"/>
      <c r="F26" s="586"/>
      <c r="G26" s="585"/>
      <c r="H26" s="267"/>
      <c r="I26" s="267"/>
      <c r="J26" s="586"/>
      <c r="K26" s="585"/>
      <c r="L26" s="267"/>
      <c r="M26" s="267"/>
      <c r="N26" s="586"/>
      <c r="O26" s="585"/>
      <c r="P26" s="586"/>
      <c r="Q26" s="585"/>
      <c r="R26" s="586"/>
      <c r="S26" s="585"/>
      <c r="T26" s="586"/>
      <c r="U26" s="585"/>
      <c r="V26" s="586"/>
      <c r="W26" s="605"/>
      <c r="X26" s="586"/>
    </row>
    <row r="27" spans="1:24">
      <c r="A27" s="604"/>
      <c r="B27" s="585"/>
      <c r="C27" s="267"/>
      <c r="D27" s="267"/>
      <c r="E27" s="267"/>
      <c r="F27" s="586"/>
      <c r="G27" s="585"/>
      <c r="H27" s="267"/>
      <c r="I27" s="267"/>
      <c r="J27" s="586"/>
      <c r="K27" s="585"/>
      <c r="L27" s="267"/>
      <c r="M27" s="267"/>
      <c r="N27" s="586"/>
      <c r="O27" s="585"/>
      <c r="P27" s="586"/>
      <c r="Q27" s="585"/>
      <c r="R27" s="586"/>
      <c r="S27" s="585"/>
      <c r="T27" s="586"/>
      <c r="U27" s="585"/>
      <c r="V27" s="586"/>
      <c r="W27" s="605"/>
      <c r="X27" s="586"/>
    </row>
    <row r="28" spans="1:24">
      <c r="A28" s="604"/>
      <c r="B28" s="585"/>
      <c r="C28" s="267"/>
      <c r="D28" s="267"/>
      <c r="E28" s="267"/>
      <c r="F28" s="586"/>
      <c r="G28" s="585"/>
      <c r="H28" s="267"/>
      <c r="I28" s="267"/>
      <c r="J28" s="586"/>
      <c r="K28" s="585"/>
      <c r="L28" s="267"/>
      <c r="M28" s="267"/>
      <c r="N28" s="586"/>
      <c r="O28" s="585"/>
      <c r="P28" s="586"/>
      <c r="Q28" s="585"/>
      <c r="R28" s="586"/>
      <c r="S28" s="585"/>
      <c r="T28" s="586"/>
      <c r="U28" s="585"/>
      <c r="V28" s="586"/>
      <c r="W28" s="605"/>
      <c r="X28" s="586"/>
    </row>
    <row r="29" spans="1:24">
      <c r="A29" s="604"/>
      <c r="B29" s="585"/>
      <c r="C29" s="267"/>
      <c r="D29" s="267"/>
      <c r="E29" s="267"/>
      <c r="F29" s="586"/>
      <c r="G29" s="585"/>
      <c r="H29" s="267"/>
      <c r="I29" s="267"/>
      <c r="J29" s="586"/>
      <c r="K29" s="585"/>
      <c r="L29" s="267"/>
      <c r="M29" s="267"/>
      <c r="N29" s="586"/>
      <c r="O29" s="585"/>
      <c r="P29" s="586"/>
      <c r="Q29" s="585"/>
      <c r="R29" s="586"/>
      <c r="S29" s="585"/>
      <c r="T29" s="586"/>
      <c r="U29" s="585"/>
      <c r="V29" s="586"/>
      <c r="W29" s="605"/>
      <c r="X29" s="586"/>
    </row>
    <row r="30" spans="1:24">
      <c r="A30" s="604"/>
      <c r="B30" s="585"/>
      <c r="C30" s="267"/>
      <c r="D30" s="267"/>
      <c r="E30" s="267"/>
      <c r="F30" s="586"/>
      <c r="G30" s="585"/>
      <c r="H30" s="267"/>
      <c r="I30" s="267"/>
      <c r="J30" s="586"/>
      <c r="K30" s="585"/>
      <c r="L30" s="267"/>
      <c r="M30" s="267"/>
      <c r="N30" s="586"/>
      <c r="O30" s="585"/>
      <c r="P30" s="586"/>
      <c r="Q30" s="585"/>
      <c r="R30" s="586"/>
      <c r="S30" s="585"/>
      <c r="T30" s="586"/>
      <c r="U30" s="585"/>
      <c r="V30" s="586"/>
      <c r="W30" s="605"/>
      <c r="X30" s="586"/>
    </row>
    <row r="31" spans="1:24" ht="13.5" thickBot="1">
      <c r="A31" s="607"/>
      <c r="B31" s="608"/>
      <c r="C31" s="609"/>
      <c r="D31" s="609"/>
      <c r="E31" s="609"/>
      <c r="F31" s="610"/>
      <c r="G31" s="587"/>
      <c r="H31" s="588"/>
      <c r="I31" s="588"/>
      <c r="J31" s="589"/>
      <c r="K31" s="587"/>
      <c r="L31" s="588"/>
      <c r="M31" s="588"/>
      <c r="N31" s="589"/>
      <c r="O31" s="587"/>
      <c r="P31" s="589"/>
      <c r="Q31" s="587"/>
      <c r="R31" s="589"/>
      <c r="S31" s="587"/>
      <c r="T31" s="589"/>
      <c r="U31" s="587"/>
      <c r="V31" s="589"/>
      <c r="W31" s="611"/>
      <c r="X31" s="610"/>
    </row>
    <row r="32" spans="1:24">
      <c r="A32" s="980" t="s">
        <v>862</v>
      </c>
      <c r="B32" s="981"/>
      <c r="C32" s="982"/>
      <c r="D32" s="982"/>
      <c r="E32" s="982"/>
      <c r="F32" s="982"/>
      <c r="G32" s="982"/>
      <c r="H32" s="982"/>
      <c r="I32" s="982"/>
      <c r="J32" s="982"/>
      <c r="K32" s="982"/>
      <c r="L32" s="982"/>
      <c r="M32" s="982"/>
      <c r="N32" s="982"/>
      <c r="O32" s="982"/>
      <c r="P32" s="982"/>
      <c r="Q32" s="982"/>
      <c r="R32" s="982"/>
      <c r="S32" s="982"/>
      <c r="T32" s="982"/>
      <c r="U32" s="982"/>
      <c r="V32" s="982"/>
      <c r="W32" s="982"/>
      <c r="X32" s="983"/>
    </row>
    <row r="33" spans="1:24">
      <c r="A33" s="988"/>
      <c r="B33" s="909"/>
      <c r="C33" s="909"/>
      <c r="D33" s="909"/>
      <c r="E33" s="909"/>
      <c r="F33" s="909"/>
      <c r="G33" s="909"/>
      <c r="H33" s="909"/>
      <c r="I33" s="909"/>
      <c r="J33" s="909"/>
      <c r="K33" s="909"/>
      <c r="L33" s="909"/>
      <c r="M33" s="909"/>
      <c r="N33" s="909"/>
      <c r="O33" s="909"/>
      <c r="P33" s="909"/>
      <c r="Q33" s="909"/>
      <c r="R33" s="909"/>
      <c r="S33" s="909"/>
      <c r="T33" s="909"/>
      <c r="U33" s="909"/>
      <c r="V33" s="909"/>
      <c r="W33" s="909"/>
      <c r="X33" s="989"/>
    </row>
    <row r="34" spans="1:24" ht="13.5" thickBot="1">
      <c r="A34" s="990"/>
      <c r="B34" s="991"/>
      <c r="C34" s="991"/>
      <c r="D34" s="991"/>
      <c r="E34" s="991"/>
      <c r="F34" s="991"/>
      <c r="G34" s="991"/>
      <c r="H34" s="991"/>
      <c r="I34" s="991"/>
      <c r="J34" s="991"/>
      <c r="K34" s="991"/>
      <c r="L34" s="991"/>
      <c r="M34" s="991"/>
      <c r="N34" s="991"/>
      <c r="O34" s="991"/>
      <c r="P34" s="991"/>
      <c r="Q34" s="991"/>
      <c r="R34" s="991"/>
      <c r="S34" s="991"/>
      <c r="T34" s="991"/>
      <c r="U34" s="991"/>
      <c r="V34" s="991"/>
      <c r="W34" s="991"/>
      <c r="X34" s="992"/>
    </row>
    <row r="35" spans="1:24" ht="13.15" customHeight="1"/>
    <row r="36" spans="1:24">
      <c r="I36" s="918" t="s">
        <v>371</v>
      </c>
      <c r="J36" s="919"/>
      <c r="K36" s="919"/>
      <c r="L36" s="919"/>
      <c r="M36" s="919"/>
      <c r="N36" s="919"/>
      <c r="O36" s="919"/>
      <c r="P36" s="919"/>
      <c r="Q36" s="919"/>
      <c r="R36" s="919"/>
      <c r="S36" s="919"/>
      <c r="T36" s="920"/>
    </row>
    <row r="37" spans="1:24" ht="6" customHeight="1"/>
    <row r="38" spans="1:24">
      <c r="I38" s="5"/>
      <c r="J38" s="917" t="s">
        <v>562</v>
      </c>
      <c r="K38" s="917"/>
      <c r="L38" s="917"/>
      <c r="M38" s="189"/>
      <c r="N38" s="189"/>
      <c r="O38" s="189"/>
      <c r="P38" s="190" t="s">
        <v>24</v>
      </c>
      <c r="Q38" s="189"/>
      <c r="R38" s="189"/>
      <c r="S38" s="190" t="s">
        <v>563</v>
      </c>
      <c r="T38" s="7"/>
    </row>
    <row r="39" spans="1:24">
      <c r="I39" s="107"/>
      <c r="J39" s="103"/>
      <c r="K39" s="103"/>
      <c r="L39" s="103"/>
      <c r="M39" s="103"/>
      <c r="N39" s="103"/>
      <c r="O39" s="103"/>
      <c r="P39" s="103"/>
      <c r="Q39" s="103"/>
      <c r="R39" s="103"/>
      <c r="S39" s="103"/>
      <c r="T39" s="105"/>
    </row>
  </sheetData>
  <mergeCells count="50">
    <mergeCell ref="A20:X20"/>
    <mergeCell ref="A21:A22"/>
    <mergeCell ref="B21:F21"/>
    <mergeCell ref="G21:G22"/>
    <mergeCell ref="H21:H22"/>
    <mergeCell ref="I21:I22"/>
    <mergeCell ref="J38:L38"/>
    <mergeCell ref="A32:B32"/>
    <mergeCell ref="C32:X32"/>
    <mergeCell ref="I36:T36"/>
    <mergeCell ref="W21:W22"/>
    <mergeCell ref="X21:X22"/>
    <mergeCell ref="A33:X33"/>
    <mergeCell ref="A34:X34"/>
    <mergeCell ref="J21:J22"/>
    <mergeCell ref="K21:N21"/>
    <mergeCell ref="O21:P21"/>
    <mergeCell ref="Q21:R21"/>
    <mergeCell ref="S21:T21"/>
    <mergeCell ref="U21:V21"/>
    <mergeCell ref="O19:T19"/>
    <mergeCell ref="O18:T18"/>
    <mergeCell ref="O17:T17"/>
    <mergeCell ref="A12:N13"/>
    <mergeCell ref="A19:N19"/>
    <mergeCell ref="A18:N18"/>
    <mergeCell ref="A17:N17"/>
    <mergeCell ref="A16:N16"/>
    <mergeCell ref="A15:N15"/>
    <mergeCell ref="A14:N14"/>
    <mergeCell ref="O16:T16"/>
    <mergeCell ref="O15:T15"/>
    <mergeCell ref="O14:T14"/>
    <mergeCell ref="U19:X19"/>
    <mergeCell ref="U18:X18"/>
    <mergeCell ref="U17:X17"/>
    <mergeCell ref="U16:X16"/>
    <mergeCell ref="U15:X15"/>
    <mergeCell ref="A2:X2"/>
    <mergeCell ref="O12:T13"/>
    <mergeCell ref="U14:X14"/>
    <mergeCell ref="P5:V5"/>
    <mergeCell ref="G7:L7"/>
    <mergeCell ref="F6:H6"/>
    <mergeCell ref="F5:L5"/>
    <mergeCell ref="A11:X11"/>
    <mergeCell ref="U12:X13"/>
    <mergeCell ref="R8:V8"/>
    <mergeCell ref="Q7:V7"/>
    <mergeCell ref="O6:V6"/>
  </mergeCells>
  <pageMargins left="0.25" right="0.25" top="0.94" bottom="0.75" header="0.3" footer="0.3"/>
  <pageSetup scale="91" orientation="landscape" r:id="rId1"/>
  <headerFooter>
    <oddHeader>&amp;L&amp;G&amp;C&amp;"Arial,Bold"&amp;14PRODUCTION PART APPROVAL</oddHeader>
    <oddFooter>&amp;C&amp;F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U22"/>
  <sheetViews>
    <sheetView showGridLines="0" view="pageLayout" topLeftCell="A5" zoomScale="160" zoomScaleNormal="100" zoomScalePageLayoutView="160" workbookViewId="0">
      <selection activeCell="E5" sqref="E5"/>
    </sheetView>
  </sheetViews>
  <sheetFormatPr defaultColWidth="0" defaultRowHeight="12.75"/>
  <cols>
    <col min="1" max="1" width="0.5703125" style="286" customWidth="1"/>
    <col min="2" max="2" width="7.42578125" style="286" customWidth="1"/>
    <col min="3" max="3" width="20.7109375" style="286" customWidth="1"/>
    <col min="4" max="4" width="24.42578125" style="286" customWidth="1"/>
    <col min="5" max="5" width="59.7109375" style="286" customWidth="1"/>
    <col min="6" max="6" width="0.42578125" style="286" customWidth="1"/>
    <col min="7" max="255" width="8.85546875" style="286" hidden="1" customWidth="1"/>
    <col min="256" max="16384" width="2.5703125" style="286" hidden="1"/>
  </cols>
  <sheetData>
    <row r="1" spans="1:5" ht="15.75">
      <c r="B1" s="665" t="s">
        <v>958</v>
      </c>
      <c r="C1" s="665"/>
      <c r="D1" s="665"/>
      <c r="E1" s="665"/>
    </row>
    <row r="2" spans="1:5" ht="15.75">
      <c r="B2" s="287"/>
    </row>
    <row r="3" spans="1:5">
      <c r="A3" s="288"/>
      <c r="B3" s="289" t="s">
        <v>946</v>
      </c>
      <c r="C3" s="289" t="s">
        <v>952</v>
      </c>
      <c r="D3" s="289" t="s">
        <v>695</v>
      </c>
      <c r="E3" s="289" t="s">
        <v>696</v>
      </c>
    </row>
    <row r="4" spans="1:5" ht="56.25">
      <c r="A4" s="288"/>
      <c r="B4" s="641">
        <v>1</v>
      </c>
      <c r="C4" s="290" t="s">
        <v>653</v>
      </c>
      <c r="D4" s="290" t="s">
        <v>892</v>
      </c>
      <c r="E4" s="642" t="s">
        <v>932</v>
      </c>
    </row>
    <row r="5" spans="1:5" ht="101.25">
      <c r="A5" s="288"/>
      <c r="B5" s="641">
        <v>2</v>
      </c>
      <c r="C5" s="290" t="s">
        <v>698</v>
      </c>
      <c r="D5" s="290" t="s">
        <v>950</v>
      </c>
      <c r="E5" s="642" t="s">
        <v>964</v>
      </c>
    </row>
    <row r="6" spans="1:5" ht="22.5">
      <c r="A6" s="288"/>
      <c r="B6" s="641">
        <v>3</v>
      </c>
      <c r="C6" s="290" t="s">
        <v>948</v>
      </c>
      <c r="D6" s="290" t="s">
        <v>949</v>
      </c>
      <c r="E6" s="642" t="s">
        <v>963</v>
      </c>
    </row>
    <row r="7" spans="1:5" ht="33.75">
      <c r="A7" s="288"/>
      <c r="B7" s="641">
        <v>4</v>
      </c>
      <c r="C7" s="290" t="s">
        <v>650</v>
      </c>
      <c r="D7" s="290" t="s">
        <v>926</v>
      </c>
      <c r="E7" s="642" t="s">
        <v>895</v>
      </c>
    </row>
    <row r="8" spans="1:5" ht="45">
      <c r="A8" s="288"/>
      <c r="B8" s="641">
        <v>5</v>
      </c>
      <c r="C8" s="290" t="s">
        <v>634</v>
      </c>
      <c r="D8" s="290" t="s">
        <v>947</v>
      </c>
      <c r="E8" s="642" t="s">
        <v>933</v>
      </c>
    </row>
    <row r="9" spans="1:5" ht="22.5">
      <c r="A9" s="288"/>
      <c r="B9" s="641">
        <v>6</v>
      </c>
      <c r="C9" s="290" t="s">
        <v>661</v>
      </c>
      <c r="D9" s="290" t="s">
        <v>925</v>
      </c>
      <c r="E9" s="642" t="s">
        <v>894</v>
      </c>
    </row>
    <row r="10" spans="1:5" ht="22.5">
      <c r="A10" s="288"/>
      <c r="B10" s="641">
        <v>7</v>
      </c>
      <c r="C10" s="290" t="s">
        <v>386</v>
      </c>
      <c r="D10" s="290" t="s">
        <v>924</v>
      </c>
      <c r="E10" s="642" t="s">
        <v>893</v>
      </c>
    </row>
    <row r="11" spans="1:5" ht="33.75">
      <c r="A11" s="288"/>
      <c r="B11" s="641">
        <v>8</v>
      </c>
      <c r="C11" s="290" t="s">
        <v>890</v>
      </c>
      <c r="D11" s="290" t="s">
        <v>923</v>
      </c>
      <c r="E11" s="642" t="s">
        <v>896</v>
      </c>
    </row>
    <row r="12" spans="1:5" ht="90">
      <c r="A12" s="288"/>
      <c r="B12" s="641">
        <v>9</v>
      </c>
      <c r="C12" s="290" t="s">
        <v>21</v>
      </c>
      <c r="D12" s="290" t="s">
        <v>927</v>
      </c>
      <c r="E12" s="642" t="s">
        <v>898</v>
      </c>
    </row>
    <row r="13" spans="1:5" ht="123.75">
      <c r="A13" s="288"/>
      <c r="B13" s="643" t="s">
        <v>888</v>
      </c>
      <c r="C13" s="290" t="s">
        <v>25</v>
      </c>
      <c r="D13" s="290" t="s">
        <v>929</v>
      </c>
      <c r="E13" s="642" t="s">
        <v>941</v>
      </c>
    </row>
    <row r="14" spans="1:5" ht="123.75">
      <c r="A14" s="288"/>
      <c r="B14" s="643" t="s">
        <v>889</v>
      </c>
      <c r="C14" s="290" t="s">
        <v>26</v>
      </c>
      <c r="D14" s="290" t="s">
        <v>928</v>
      </c>
      <c r="E14" s="642" t="s">
        <v>897</v>
      </c>
    </row>
    <row r="15" spans="1:5" ht="101.25">
      <c r="A15" s="288"/>
      <c r="B15" s="641">
        <v>11</v>
      </c>
      <c r="C15" s="290" t="s">
        <v>666</v>
      </c>
      <c r="D15" s="290" t="s">
        <v>930</v>
      </c>
      <c r="E15" s="642" t="s">
        <v>942</v>
      </c>
    </row>
    <row r="16" spans="1:5" ht="101.25">
      <c r="A16" s="288"/>
      <c r="B16" s="641">
        <v>12</v>
      </c>
      <c r="C16" s="290" t="s">
        <v>699</v>
      </c>
      <c r="D16" s="290" t="s">
        <v>700</v>
      </c>
      <c r="E16" s="642" t="s">
        <v>934</v>
      </c>
    </row>
    <row r="17" spans="1:5" ht="101.25">
      <c r="A17" s="288"/>
      <c r="B17" s="641">
        <v>13</v>
      </c>
      <c r="C17" s="290" t="s">
        <v>701</v>
      </c>
      <c r="D17" s="290" t="s">
        <v>931</v>
      </c>
      <c r="E17" s="642" t="s">
        <v>935</v>
      </c>
    </row>
    <row r="18" spans="1:5">
      <c r="A18" s="288"/>
      <c r="B18" s="641">
        <v>14</v>
      </c>
      <c r="C18" s="290" t="s">
        <v>891</v>
      </c>
      <c r="D18" s="290" t="s">
        <v>936</v>
      </c>
      <c r="E18" s="642" t="s">
        <v>937</v>
      </c>
    </row>
    <row r="19" spans="1:5" ht="123.75">
      <c r="A19" s="288"/>
      <c r="B19" s="641">
        <v>15</v>
      </c>
      <c r="C19" s="290" t="s">
        <v>656</v>
      </c>
      <c r="D19" s="290" t="s">
        <v>936</v>
      </c>
      <c r="E19" s="642" t="s">
        <v>943</v>
      </c>
    </row>
    <row r="20" spans="1:5" ht="22.5">
      <c r="A20" s="288"/>
      <c r="B20" s="641">
        <v>16</v>
      </c>
      <c r="C20" s="290" t="s">
        <v>884</v>
      </c>
      <c r="D20" s="290" t="s">
        <v>702</v>
      </c>
      <c r="E20" s="642" t="s">
        <v>938</v>
      </c>
    </row>
    <row r="21" spans="1:5" ht="33.75">
      <c r="B21" s="641">
        <v>17</v>
      </c>
      <c r="C21" s="290" t="s">
        <v>921</v>
      </c>
      <c r="D21" s="290" t="s">
        <v>939</v>
      </c>
      <c r="E21" s="642" t="s">
        <v>940</v>
      </c>
    </row>
    <row r="22" spans="1:5" ht="90">
      <c r="A22" s="288"/>
      <c r="B22" s="641">
        <v>18</v>
      </c>
      <c r="C22" s="290" t="s">
        <v>697</v>
      </c>
      <c r="D22" s="290" t="s">
        <v>715</v>
      </c>
      <c r="E22" s="642" t="s">
        <v>899</v>
      </c>
    </row>
  </sheetData>
  <sheetProtection selectLockedCells="1"/>
  <mergeCells count="1">
    <mergeCell ref="B1:E1"/>
  </mergeCells>
  <hyperlinks>
    <hyperlink ref="B4" location="'1.  Design Records'!A1" display="'1.  Design Records'!A1" xr:uid="{00000000-0004-0000-0000-000000000000}"/>
    <hyperlink ref="B5" location="'2.  Auth Eng Change Docs'!A1" display="'2.  Auth Eng Change Docs'!A1" xr:uid="{00000000-0004-0000-0000-000001000000}"/>
    <hyperlink ref="B6" location="'3. Agility Eng Approval'!A1" display="'3. Agility Eng Approval'!A1" xr:uid="{00000000-0004-0000-0000-000002000000}"/>
    <hyperlink ref="B7" location="'4. DFMEA'!A1" display="'4. DFMEA'!A1" xr:uid="{00000000-0004-0000-0000-000003000000}"/>
    <hyperlink ref="B8" location="'5. Process Flow'!A1" display="'5. Process Flow'!A1" xr:uid="{00000000-0004-0000-0000-000004000000}"/>
    <hyperlink ref="B9" location="'6. PFMEA'!A1" display="'6. PFMEA'!A1" xr:uid="{00000000-0004-0000-0000-000005000000}"/>
    <hyperlink ref="B10" location="'7. Control Plan'!A1" display="'7. Control Plan'!A1" xr:uid="{00000000-0004-0000-0000-000006000000}"/>
    <hyperlink ref="B11" location="'8. GR&amp;R Summary'!A1" display="'8. GR&amp;R Summary'!A1" xr:uid="{00000000-0004-0000-0000-000007000000}"/>
    <hyperlink ref="B12" location="'9. Dimensional Results'!A1" display="'9. Dimensional Results'!A1" xr:uid="{00000000-0004-0000-0000-000008000000}"/>
    <hyperlink ref="B13" location="'10-1. Material Test Results'!A1" display="10-1" xr:uid="{00000000-0004-0000-0000-000009000000}"/>
    <hyperlink ref="B14" location="'10-2. Performance Test Results'!A1" display="10-2" xr:uid="{00000000-0004-0000-0000-00000A000000}"/>
    <hyperlink ref="B15" location="'11. Initial Process Study'!A1" display="'11. Initial Process Study'!A1" xr:uid="{00000000-0004-0000-0000-00000B000000}"/>
    <hyperlink ref="B16" location="'12.  Qualified Lab'!A1" display="'12.  Qualified Lab'!A1" xr:uid="{00000000-0004-0000-0000-00000C000000}"/>
    <hyperlink ref="B17" location="'13. Appearance Approval'!A1" display="'13. Appearance Approval'!A1" xr:uid="{00000000-0004-0000-0000-00000D000000}"/>
    <hyperlink ref="B18" location="'14. Sample Product Parts'!A1" display="'14. Sample Product Parts'!A1" xr:uid="{00000000-0004-0000-0000-00000E000000}"/>
    <hyperlink ref="B19" location="'15.  Master Sample'!A1" display="'15.  Master Sample'!A1" xr:uid="{00000000-0004-0000-0000-00000F000000}"/>
    <hyperlink ref="B20" location="'16. Checking Aids'!A1" display="'16. Checking Aids'!A1" xr:uid="{00000000-0004-0000-0000-000010000000}"/>
    <hyperlink ref="B21" location="'17. Customer Specific Req'!A1" display="'17. Customer Specific Req'!A1" xr:uid="{00000000-0004-0000-0000-000011000000}"/>
    <hyperlink ref="B22" location="'18. Truck PSW'!A1" display="'18. Truck PSW'!A1" xr:uid="{00000000-0004-0000-0000-000012000000}"/>
  </hyperlinks>
  <pageMargins left="0.25" right="0.25" top="1.3541666666666701" bottom="0.5" header="0.3" footer="0.3"/>
  <pageSetup fitToHeight="0" orientation="landscape" r:id="rId1"/>
  <headerFooter scaleWithDoc="0" alignWithMargins="0">
    <oddHeader>&amp;L&amp;G&amp;C&amp;"Arial,Bold"&amp;14PPAP Submission
Reference Guide</oddHeader>
    <oddFooter>&amp;C&amp;F Revision 6.0</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4">
    <pageSetUpPr fitToPage="1"/>
  </sheetPr>
  <dimension ref="A1:L25"/>
  <sheetViews>
    <sheetView showGridLines="0" showRowColHeaders="0" view="pageLayout" zoomScaleNormal="100" workbookViewId="0">
      <selection activeCell="A9" sqref="A9:I9"/>
    </sheetView>
  </sheetViews>
  <sheetFormatPr defaultColWidth="0" defaultRowHeight="0" customHeight="1" zeroHeight="1" outlineLevelCol="1"/>
  <cols>
    <col min="1" max="8" width="10.5703125" style="207" customWidth="1"/>
    <col min="9" max="9" width="16.140625" style="207" customWidth="1"/>
    <col min="10" max="10" width="0.7109375" style="207" customWidth="1"/>
    <col min="11" max="11" width="9.140625" style="207" hidden="1" customWidth="1" outlineLevel="1"/>
    <col min="12" max="12" width="9.140625" style="207" hidden="1" customWidth="1" collapsed="1"/>
    <col min="13" max="16384" width="9.140625" style="207" hidden="1"/>
  </cols>
  <sheetData>
    <row r="1" spans="1:9" ht="13.15" customHeight="1">
      <c r="A1" s="1009" t="s">
        <v>865</v>
      </c>
      <c r="B1" s="1010"/>
      <c r="C1" s="1010"/>
      <c r="D1" s="1010"/>
      <c r="E1" s="1010"/>
      <c r="F1" s="1010"/>
      <c r="G1" s="1010"/>
      <c r="H1" s="1010"/>
      <c r="I1" s="1011"/>
    </row>
    <row r="2" spans="1:9" ht="13.15" customHeight="1">
      <c r="A2" s="1012"/>
      <c r="B2" s="1013"/>
      <c r="C2" s="1013"/>
      <c r="D2" s="1013"/>
      <c r="E2" s="1013"/>
      <c r="F2" s="1013"/>
      <c r="G2" s="1013"/>
      <c r="H2" s="1013"/>
      <c r="I2" s="1014"/>
    </row>
    <row r="3" spans="1:9" ht="13.15" customHeight="1">
      <c r="A3" s="1012"/>
      <c r="B3" s="1013"/>
      <c r="C3" s="1013"/>
      <c r="D3" s="1013"/>
      <c r="E3" s="1013"/>
      <c r="F3" s="1013"/>
      <c r="G3" s="1013"/>
      <c r="H3" s="1013"/>
      <c r="I3" s="1014"/>
    </row>
    <row r="4" spans="1:9" ht="13.15" customHeight="1">
      <c r="A4" s="1012"/>
      <c r="B4" s="1013"/>
      <c r="C4" s="1013"/>
      <c r="D4" s="1013"/>
      <c r="E4" s="1013"/>
      <c r="F4" s="1013"/>
      <c r="G4" s="1013"/>
      <c r="H4" s="1013"/>
      <c r="I4" s="1014"/>
    </row>
    <row r="5" spans="1:9" ht="13.15" customHeight="1">
      <c r="A5" s="1012"/>
      <c r="B5" s="1013"/>
      <c r="C5" s="1013"/>
      <c r="D5" s="1013"/>
      <c r="E5" s="1013"/>
      <c r="F5" s="1013"/>
      <c r="G5" s="1013"/>
      <c r="H5" s="1013"/>
      <c r="I5" s="1014"/>
    </row>
    <row r="6" spans="1:9" ht="13.9" customHeight="1" thickBot="1">
      <c r="A6" s="1015"/>
      <c r="B6" s="1016"/>
      <c r="C6" s="1016"/>
      <c r="D6" s="1016"/>
      <c r="E6" s="1016"/>
      <c r="F6" s="1016"/>
      <c r="G6" s="1016"/>
      <c r="H6" s="1016"/>
      <c r="I6" s="1017"/>
    </row>
    <row r="7" spans="1:9" ht="35.25" customHeight="1">
      <c r="A7" s="1018" t="s">
        <v>863</v>
      </c>
      <c r="B7" s="1019"/>
      <c r="C7" s="1019"/>
      <c r="D7" s="1019"/>
      <c r="E7" s="1019"/>
      <c r="F7" s="1019"/>
      <c r="G7" s="1019"/>
      <c r="H7" s="1019"/>
      <c r="I7" s="1020"/>
    </row>
    <row r="8" spans="1:9" ht="12.75">
      <c r="A8" s="208"/>
      <c r="I8" s="209"/>
    </row>
    <row r="9" spans="1:9" ht="61.15" customHeight="1" thickBot="1">
      <c r="A9" s="1021" t="s">
        <v>864</v>
      </c>
      <c r="B9" s="1022"/>
      <c r="C9" s="1022"/>
      <c r="D9" s="1022"/>
      <c r="E9" s="1022"/>
      <c r="F9" s="1022"/>
      <c r="G9" s="1022"/>
      <c r="H9" s="1022"/>
      <c r="I9" s="1023"/>
    </row>
    <row r="10" spans="1:9" ht="16.5" thickBot="1">
      <c r="A10" s="615"/>
      <c r="B10" s="615"/>
      <c r="C10" s="615"/>
      <c r="D10" s="615"/>
      <c r="E10" s="615"/>
      <c r="F10" s="615"/>
      <c r="G10" s="615"/>
      <c r="H10" s="615"/>
      <c r="I10" s="615"/>
    </row>
    <row r="11" spans="1:9" ht="45">
      <c r="A11" s="1024" t="s">
        <v>689</v>
      </c>
      <c r="B11" s="1025"/>
      <c r="C11" s="1025"/>
      <c r="D11" s="1025"/>
      <c r="E11" s="1025"/>
      <c r="F11" s="1025"/>
      <c r="G11" s="1025"/>
      <c r="H11" s="1025"/>
      <c r="I11" s="1026"/>
    </row>
    <row r="12" spans="1:9" ht="25.5">
      <c r="A12" s="1027" t="s">
        <v>690</v>
      </c>
      <c r="B12" s="1028"/>
      <c r="C12" s="1028"/>
      <c r="D12" s="1028"/>
      <c r="E12" s="1028"/>
      <c r="F12" s="1028"/>
      <c r="G12" s="1028"/>
      <c r="H12" s="1028"/>
      <c r="I12" s="1029"/>
    </row>
    <row r="13" spans="1:9" s="211" customFormat="1" ht="39" customHeight="1">
      <c r="A13" s="1006" t="s">
        <v>691</v>
      </c>
      <c r="B13" s="1007"/>
      <c r="C13" s="1007"/>
      <c r="D13" s="1030">
        <f>'Header Info'!C10</f>
        <v>0</v>
      </c>
      <c r="E13" s="1030"/>
      <c r="F13" s="1030"/>
      <c r="G13" s="1030"/>
      <c r="H13" s="1030"/>
      <c r="I13" s="210"/>
    </row>
    <row r="14" spans="1:9" ht="39" customHeight="1">
      <c r="A14" s="1006" t="s">
        <v>692</v>
      </c>
      <c r="B14" s="1007"/>
      <c r="C14" s="1007"/>
      <c r="D14" s="1008">
        <f>'Header Info'!C7</f>
        <v>0</v>
      </c>
      <c r="E14" s="1008"/>
      <c r="F14" s="1008"/>
      <c r="G14" s="1008"/>
      <c r="H14" s="1008"/>
      <c r="I14" s="212"/>
    </row>
    <row r="15" spans="1:9" ht="39" customHeight="1">
      <c r="A15" s="1006" t="s">
        <v>693</v>
      </c>
      <c r="B15" s="1007"/>
      <c r="C15" s="1007"/>
      <c r="D15" s="1008">
        <f>'Header Info'!C8</f>
        <v>0</v>
      </c>
      <c r="E15" s="1008"/>
      <c r="F15" s="1008"/>
      <c r="G15" s="1008"/>
      <c r="H15" s="1008"/>
      <c r="I15" s="212"/>
    </row>
    <row r="16" spans="1:9" ht="39" customHeight="1">
      <c r="A16" s="1006" t="s">
        <v>694</v>
      </c>
      <c r="B16" s="1007"/>
      <c r="C16" s="1007"/>
      <c r="D16" s="1008">
        <f>'Header Info'!C11</f>
        <v>0</v>
      </c>
      <c r="E16" s="1008"/>
      <c r="F16" s="1008"/>
      <c r="G16" s="1008"/>
      <c r="H16" s="1008"/>
      <c r="I16" s="212"/>
    </row>
    <row r="17" spans="1:9" ht="39.75" customHeight="1" thickBot="1">
      <c r="A17" s="213"/>
      <c r="B17" s="214"/>
      <c r="C17" s="214"/>
      <c r="D17" s="214"/>
      <c r="E17" s="214"/>
      <c r="F17" s="214"/>
      <c r="G17" s="214"/>
      <c r="H17" s="214"/>
      <c r="I17" s="215"/>
    </row>
    <row r="18" spans="1:9" ht="13.5" thickBot="1">
      <c r="I18" s="216"/>
    </row>
    <row r="19" spans="1:9" ht="45">
      <c r="A19" s="1024" t="s">
        <v>689</v>
      </c>
      <c r="B19" s="1025"/>
      <c r="C19" s="1025"/>
      <c r="D19" s="1025"/>
      <c r="E19" s="1025"/>
      <c r="F19" s="1025"/>
      <c r="G19" s="1025"/>
      <c r="H19" s="1025"/>
      <c r="I19" s="1026"/>
    </row>
    <row r="20" spans="1:9" ht="25.5">
      <c r="A20" s="1027" t="s">
        <v>690</v>
      </c>
      <c r="B20" s="1028"/>
      <c r="C20" s="1028"/>
      <c r="D20" s="1028"/>
      <c r="E20" s="1028"/>
      <c r="F20" s="1028"/>
      <c r="G20" s="1028"/>
      <c r="H20" s="1028"/>
      <c r="I20" s="1029"/>
    </row>
    <row r="21" spans="1:9" s="211" customFormat="1" ht="39" customHeight="1">
      <c r="A21" s="1006" t="s">
        <v>691</v>
      </c>
      <c r="B21" s="1007"/>
      <c r="C21" s="1007"/>
      <c r="D21" s="1030">
        <f>'Header Info'!C10</f>
        <v>0</v>
      </c>
      <c r="E21" s="1030"/>
      <c r="F21" s="1030"/>
      <c r="G21" s="1030"/>
      <c r="H21" s="1030"/>
      <c r="I21" s="210"/>
    </row>
    <row r="22" spans="1:9" ht="39" customHeight="1">
      <c r="A22" s="1006" t="s">
        <v>692</v>
      </c>
      <c r="B22" s="1007"/>
      <c r="C22" s="1007"/>
      <c r="D22" s="1008">
        <f>'Header Info'!C6</f>
        <v>0</v>
      </c>
      <c r="E22" s="1008"/>
      <c r="F22" s="1008"/>
      <c r="G22" s="1008"/>
      <c r="H22" s="1008"/>
      <c r="I22" s="212"/>
    </row>
    <row r="23" spans="1:9" ht="39" customHeight="1">
      <c r="A23" s="1006" t="s">
        <v>693</v>
      </c>
      <c r="B23" s="1007"/>
      <c r="C23" s="1007"/>
      <c r="D23" s="1008">
        <f>'Header Info'!C8</f>
        <v>0</v>
      </c>
      <c r="E23" s="1008"/>
      <c r="F23" s="1008"/>
      <c r="G23" s="1008"/>
      <c r="H23" s="1008"/>
      <c r="I23" s="212"/>
    </row>
    <row r="24" spans="1:9" ht="39" customHeight="1">
      <c r="A24" s="1006" t="s">
        <v>694</v>
      </c>
      <c r="B24" s="1007"/>
      <c r="C24" s="1007"/>
      <c r="D24" s="1008">
        <f>'Header Info'!C11</f>
        <v>0</v>
      </c>
      <c r="E24" s="1008"/>
      <c r="F24" s="1008"/>
      <c r="G24" s="1008"/>
      <c r="H24" s="1008"/>
      <c r="I24" s="212"/>
    </row>
    <row r="25" spans="1:9" ht="36.75" customHeight="1" thickBot="1">
      <c r="A25" s="213"/>
      <c r="B25" s="214"/>
      <c r="C25" s="214"/>
      <c r="D25" s="214"/>
      <c r="E25" s="214"/>
      <c r="F25" s="214"/>
      <c r="G25" s="214"/>
      <c r="H25" s="214"/>
      <c r="I25" s="215"/>
    </row>
  </sheetData>
  <mergeCells count="23">
    <mergeCell ref="A23:C23"/>
    <mergeCell ref="D23:H23"/>
    <mergeCell ref="A24:C24"/>
    <mergeCell ref="D24:H24"/>
    <mergeCell ref="A19:I19"/>
    <mergeCell ref="A20:I20"/>
    <mergeCell ref="A21:C21"/>
    <mergeCell ref="D21:H21"/>
    <mergeCell ref="A22:C22"/>
    <mergeCell ref="D22:H22"/>
    <mergeCell ref="A16:C16"/>
    <mergeCell ref="D16:H16"/>
    <mergeCell ref="A1:I6"/>
    <mergeCell ref="A7:I7"/>
    <mergeCell ref="A9:I9"/>
    <mergeCell ref="A11:I11"/>
    <mergeCell ref="A12:I12"/>
    <mergeCell ref="A13:C13"/>
    <mergeCell ref="D13:H13"/>
    <mergeCell ref="A14:C14"/>
    <mergeCell ref="D14:H14"/>
    <mergeCell ref="A15:C15"/>
    <mergeCell ref="D15:H15"/>
  </mergeCells>
  <pageMargins left="0.7" right="0.7" top="1.2183333333333333" bottom="0.75" header="0.3" footer="0.3"/>
  <pageSetup scale="89" orientation="portrait" r:id="rId1"/>
  <headerFooter>
    <oddHeader>&amp;L&amp;G&amp;C&amp;"Arial,Bold"&amp;14PPAP SAMPLE PARTS - LABEL</oddHead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dimension ref="A2:E9"/>
  <sheetViews>
    <sheetView showGridLines="0" showRowColHeaders="0" view="pageLayout" zoomScaleNormal="100" workbookViewId="0">
      <selection activeCell="C26" sqref="C26"/>
    </sheetView>
  </sheetViews>
  <sheetFormatPr defaultColWidth="0" defaultRowHeight="12.75"/>
  <cols>
    <col min="1" max="1" width="9.140625" customWidth="1"/>
    <col min="2" max="2" width="37.28515625" customWidth="1"/>
    <col min="3" max="3" width="11.7109375" customWidth="1"/>
    <col min="4" max="4" width="25.140625" customWidth="1"/>
    <col min="5" max="5" width="9.140625" customWidth="1"/>
    <col min="6" max="16384" width="9.140625" hidden="1"/>
  </cols>
  <sheetData>
    <row r="2" spans="1:4" ht="13.5" thickBot="1"/>
    <row r="3" spans="1:4">
      <c r="A3" s="268" t="s">
        <v>622</v>
      </c>
      <c r="B3" s="269" t="s">
        <v>758</v>
      </c>
      <c r="C3" s="269" t="s">
        <v>759</v>
      </c>
      <c r="D3" s="270" t="s">
        <v>760</v>
      </c>
    </row>
    <row r="4" spans="1:4">
      <c r="A4" s="271"/>
      <c r="B4" s="16"/>
      <c r="C4" s="16"/>
      <c r="D4" s="272"/>
    </row>
    <row r="5" spans="1:4">
      <c r="A5" s="271"/>
      <c r="B5" s="16"/>
      <c r="C5" s="16"/>
      <c r="D5" s="272"/>
    </row>
    <row r="6" spans="1:4">
      <c r="A6" s="271"/>
      <c r="B6" s="16"/>
      <c r="C6" s="16"/>
      <c r="D6" s="272"/>
    </row>
    <row r="7" spans="1:4">
      <c r="A7" s="271"/>
      <c r="B7" s="16"/>
      <c r="C7" s="16"/>
      <c r="D7" s="272"/>
    </row>
    <row r="8" spans="1:4">
      <c r="A8" s="271"/>
      <c r="B8" s="16"/>
      <c r="C8" s="16"/>
      <c r="D8" s="272"/>
    </row>
    <row r="9" spans="1:4" ht="13.5" thickBot="1">
      <c r="A9" s="273"/>
      <c r="B9" s="274"/>
      <c r="C9" s="274"/>
      <c r="D9" s="275"/>
    </row>
  </sheetData>
  <pageMargins left="0.7" right="0.7" top="1.4479166666666667" bottom="0.75" header="0.3" footer="0.3"/>
  <pageSetup orientation="portrait" r:id="rId1"/>
  <headerFooter>
    <oddHeader>&amp;L&amp;G&amp;C&amp;"Arial,Bold"&amp;14                 MASTER SAMPLE SUMMARY</oddHeader>
    <oddFooter>&amp;C&amp;F</odd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dimension ref="A2:J47"/>
  <sheetViews>
    <sheetView showGridLines="0" showRowColHeaders="0" view="pageLayout" zoomScaleNormal="100" workbookViewId="0">
      <selection activeCell="A4" sqref="A4:I47"/>
    </sheetView>
  </sheetViews>
  <sheetFormatPr defaultColWidth="0" defaultRowHeight="12.75"/>
  <cols>
    <col min="1" max="10" width="9.140625" customWidth="1"/>
    <col min="11" max="16384" width="9.140625" hidden="1"/>
  </cols>
  <sheetData>
    <row r="2" spans="1:10" ht="12.75" customHeight="1">
      <c r="A2" s="1040" t="s">
        <v>866</v>
      </c>
      <c r="B2" s="1040"/>
      <c r="C2" s="1040"/>
      <c r="D2" s="1040"/>
      <c r="E2" s="1040"/>
      <c r="F2" s="1040"/>
      <c r="G2" s="1040"/>
      <c r="H2" s="1040"/>
      <c r="I2" s="1040"/>
      <c r="J2" s="617"/>
    </row>
    <row r="3" spans="1:10">
      <c r="A3" s="1040"/>
      <c r="B3" s="1040"/>
      <c r="C3" s="1040"/>
      <c r="D3" s="1040"/>
      <c r="E3" s="1040"/>
      <c r="F3" s="1040"/>
      <c r="G3" s="1040"/>
      <c r="H3" s="1040"/>
      <c r="I3" s="1040"/>
      <c r="J3" s="617"/>
    </row>
    <row r="4" spans="1:10">
      <c r="A4" s="1031"/>
      <c r="B4" s="1032"/>
      <c r="C4" s="1032"/>
      <c r="D4" s="1032"/>
      <c r="E4" s="1032"/>
      <c r="F4" s="1032"/>
      <c r="G4" s="1032"/>
      <c r="H4" s="1032"/>
      <c r="I4" s="1033"/>
    </row>
    <row r="5" spans="1:10">
      <c r="A5" s="1034"/>
      <c r="B5" s="1035"/>
      <c r="C5" s="1035"/>
      <c r="D5" s="1035"/>
      <c r="E5" s="1035"/>
      <c r="F5" s="1035"/>
      <c r="G5" s="1035"/>
      <c r="H5" s="1035"/>
      <c r="I5" s="1036"/>
    </row>
    <row r="6" spans="1:10">
      <c r="A6" s="1034"/>
      <c r="B6" s="1035"/>
      <c r="C6" s="1035"/>
      <c r="D6" s="1035"/>
      <c r="E6" s="1035"/>
      <c r="F6" s="1035"/>
      <c r="G6" s="1035"/>
      <c r="H6" s="1035"/>
      <c r="I6" s="1036"/>
    </row>
    <row r="7" spans="1:10">
      <c r="A7" s="1034"/>
      <c r="B7" s="1035"/>
      <c r="C7" s="1035"/>
      <c r="D7" s="1035"/>
      <c r="E7" s="1035"/>
      <c r="F7" s="1035"/>
      <c r="G7" s="1035"/>
      <c r="H7" s="1035"/>
      <c r="I7" s="1036"/>
    </row>
    <row r="8" spans="1:10">
      <c r="A8" s="1034"/>
      <c r="B8" s="1035"/>
      <c r="C8" s="1035"/>
      <c r="D8" s="1035"/>
      <c r="E8" s="1035"/>
      <c r="F8" s="1035"/>
      <c r="G8" s="1035"/>
      <c r="H8" s="1035"/>
      <c r="I8" s="1036"/>
    </row>
    <row r="9" spans="1:10">
      <c r="A9" s="1034"/>
      <c r="B9" s="1035"/>
      <c r="C9" s="1035"/>
      <c r="D9" s="1035"/>
      <c r="E9" s="1035"/>
      <c r="F9" s="1035"/>
      <c r="G9" s="1035"/>
      <c r="H9" s="1035"/>
      <c r="I9" s="1036"/>
    </row>
    <row r="10" spans="1:10">
      <c r="A10" s="1034"/>
      <c r="B10" s="1035"/>
      <c r="C10" s="1035"/>
      <c r="D10" s="1035"/>
      <c r="E10" s="1035"/>
      <c r="F10" s="1035"/>
      <c r="G10" s="1035"/>
      <c r="H10" s="1035"/>
      <c r="I10" s="1036"/>
    </row>
    <row r="11" spans="1:10">
      <c r="A11" s="1034"/>
      <c r="B11" s="1035"/>
      <c r="C11" s="1035"/>
      <c r="D11" s="1035"/>
      <c r="E11" s="1035"/>
      <c r="F11" s="1035"/>
      <c r="G11" s="1035"/>
      <c r="H11" s="1035"/>
      <c r="I11" s="1036"/>
    </row>
    <row r="12" spans="1:10">
      <c r="A12" s="1034"/>
      <c r="B12" s="1035"/>
      <c r="C12" s="1035"/>
      <c r="D12" s="1035"/>
      <c r="E12" s="1035"/>
      <c r="F12" s="1035"/>
      <c r="G12" s="1035"/>
      <c r="H12" s="1035"/>
      <c r="I12" s="1036"/>
    </row>
    <row r="13" spans="1:10">
      <c r="A13" s="1034"/>
      <c r="B13" s="1035"/>
      <c r="C13" s="1035"/>
      <c r="D13" s="1035"/>
      <c r="E13" s="1035"/>
      <c r="F13" s="1035"/>
      <c r="G13" s="1035"/>
      <c r="H13" s="1035"/>
      <c r="I13" s="1036"/>
    </row>
    <row r="14" spans="1:10">
      <c r="A14" s="1034"/>
      <c r="B14" s="1035"/>
      <c r="C14" s="1035"/>
      <c r="D14" s="1035"/>
      <c r="E14" s="1035"/>
      <c r="F14" s="1035"/>
      <c r="G14" s="1035"/>
      <c r="H14" s="1035"/>
      <c r="I14" s="1036"/>
    </row>
    <row r="15" spans="1:10">
      <c r="A15" s="1034"/>
      <c r="B15" s="1035"/>
      <c r="C15" s="1035"/>
      <c r="D15" s="1035"/>
      <c r="E15" s="1035"/>
      <c r="F15" s="1035"/>
      <c r="G15" s="1035"/>
      <c r="H15" s="1035"/>
      <c r="I15" s="1036"/>
    </row>
    <row r="16" spans="1:10">
      <c r="A16" s="1034"/>
      <c r="B16" s="1035"/>
      <c r="C16" s="1035"/>
      <c r="D16" s="1035"/>
      <c r="E16" s="1035"/>
      <c r="F16" s="1035"/>
      <c r="G16" s="1035"/>
      <c r="H16" s="1035"/>
      <c r="I16" s="1036"/>
    </row>
    <row r="17" spans="1:9">
      <c r="A17" s="1034"/>
      <c r="B17" s="1035"/>
      <c r="C17" s="1035"/>
      <c r="D17" s="1035"/>
      <c r="E17" s="1035"/>
      <c r="F17" s="1035"/>
      <c r="G17" s="1035"/>
      <c r="H17" s="1035"/>
      <c r="I17" s="1036"/>
    </row>
    <row r="18" spans="1:9">
      <c r="A18" s="1034"/>
      <c r="B18" s="1035"/>
      <c r="C18" s="1035"/>
      <c r="D18" s="1035"/>
      <c r="E18" s="1035"/>
      <c r="F18" s="1035"/>
      <c r="G18" s="1035"/>
      <c r="H18" s="1035"/>
      <c r="I18" s="1036"/>
    </row>
    <row r="19" spans="1:9">
      <c r="A19" s="1034"/>
      <c r="B19" s="1035"/>
      <c r="C19" s="1035"/>
      <c r="D19" s="1035"/>
      <c r="E19" s="1035"/>
      <c r="F19" s="1035"/>
      <c r="G19" s="1035"/>
      <c r="H19" s="1035"/>
      <c r="I19" s="1036"/>
    </row>
    <row r="20" spans="1:9">
      <c r="A20" s="1034"/>
      <c r="B20" s="1035"/>
      <c r="C20" s="1035"/>
      <c r="D20" s="1035"/>
      <c r="E20" s="1035"/>
      <c r="F20" s="1035"/>
      <c r="G20" s="1035"/>
      <c r="H20" s="1035"/>
      <c r="I20" s="1036"/>
    </row>
    <row r="21" spans="1:9">
      <c r="A21" s="1034"/>
      <c r="B21" s="1035"/>
      <c r="C21" s="1035"/>
      <c r="D21" s="1035"/>
      <c r="E21" s="1035"/>
      <c r="F21" s="1035"/>
      <c r="G21" s="1035"/>
      <c r="H21" s="1035"/>
      <c r="I21" s="1036"/>
    </row>
    <row r="22" spans="1:9">
      <c r="A22" s="1034"/>
      <c r="B22" s="1035"/>
      <c r="C22" s="1035"/>
      <c r="D22" s="1035"/>
      <c r="E22" s="1035"/>
      <c r="F22" s="1035"/>
      <c r="G22" s="1035"/>
      <c r="H22" s="1035"/>
      <c r="I22" s="1036"/>
    </row>
    <row r="23" spans="1:9">
      <c r="A23" s="1034"/>
      <c r="B23" s="1035"/>
      <c r="C23" s="1035"/>
      <c r="D23" s="1035"/>
      <c r="E23" s="1035"/>
      <c r="F23" s="1035"/>
      <c r="G23" s="1035"/>
      <c r="H23" s="1035"/>
      <c r="I23" s="1036"/>
    </row>
    <row r="24" spans="1:9">
      <c r="A24" s="1034"/>
      <c r="B24" s="1035"/>
      <c r="C24" s="1035"/>
      <c r="D24" s="1035"/>
      <c r="E24" s="1035"/>
      <c r="F24" s="1035"/>
      <c r="G24" s="1035"/>
      <c r="H24" s="1035"/>
      <c r="I24" s="1036"/>
    </row>
    <row r="25" spans="1:9">
      <c r="A25" s="1034"/>
      <c r="B25" s="1035"/>
      <c r="C25" s="1035"/>
      <c r="D25" s="1035"/>
      <c r="E25" s="1035"/>
      <c r="F25" s="1035"/>
      <c r="G25" s="1035"/>
      <c r="H25" s="1035"/>
      <c r="I25" s="1036"/>
    </row>
    <row r="26" spans="1:9">
      <c r="A26" s="1034"/>
      <c r="B26" s="1035"/>
      <c r="C26" s="1035"/>
      <c r="D26" s="1035"/>
      <c r="E26" s="1035"/>
      <c r="F26" s="1035"/>
      <c r="G26" s="1035"/>
      <c r="H26" s="1035"/>
      <c r="I26" s="1036"/>
    </row>
    <row r="27" spans="1:9">
      <c r="A27" s="1034"/>
      <c r="B27" s="1035"/>
      <c r="C27" s="1035"/>
      <c r="D27" s="1035"/>
      <c r="E27" s="1035"/>
      <c r="F27" s="1035"/>
      <c r="G27" s="1035"/>
      <c r="H27" s="1035"/>
      <c r="I27" s="1036"/>
    </row>
    <row r="28" spans="1:9">
      <c r="A28" s="1034"/>
      <c r="B28" s="1035"/>
      <c r="C28" s="1035"/>
      <c r="D28" s="1035"/>
      <c r="E28" s="1035"/>
      <c r="F28" s="1035"/>
      <c r="G28" s="1035"/>
      <c r="H28" s="1035"/>
      <c r="I28" s="1036"/>
    </row>
    <row r="29" spans="1:9">
      <c r="A29" s="1034"/>
      <c r="B29" s="1035"/>
      <c r="C29" s="1035"/>
      <c r="D29" s="1035"/>
      <c r="E29" s="1035"/>
      <c r="F29" s="1035"/>
      <c r="G29" s="1035"/>
      <c r="H29" s="1035"/>
      <c r="I29" s="1036"/>
    </row>
    <row r="30" spans="1:9">
      <c r="A30" s="1034"/>
      <c r="B30" s="1035"/>
      <c r="C30" s="1035"/>
      <c r="D30" s="1035"/>
      <c r="E30" s="1035"/>
      <c r="F30" s="1035"/>
      <c r="G30" s="1035"/>
      <c r="H30" s="1035"/>
      <c r="I30" s="1036"/>
    </row>
    <row r="31" spans="1:9">
      <c r="A31" s="1034"/>
      <c r="B31" s="1035"/>
      <c r="C31" s="1035"/>
      <c r="D31" s="1035"/>
      <c r="E31" s="1035"/>
      <c r="F31" s="1035"/>
      <c r="G31" s="1035"/>
      <c r="H31" s="1035"/>
      <c r="I31" s="1036"/>
    </row>
    <row r="32" spans="1:9">
      <c r="A32" s="1034"/>
      <c r="B32" s="1035"/>
      <c r="C32" s="1035"/>
      <c r="D32" s="1035"/>
      <c r="E32" s="1035"/>
      <c r="F32" s="1035"/>
      <c r="G32" s="1035"/>
      <c r="H32" s="1035"/>
      <c r="I32" s="1036"/>
    </row>
    <row r="33" spans="1:9">
      <c r="A33" s="1034"/>
      <c r="B33" s="1035"/>
      <c r="C33" s="1035"/>
      <c r="D33" s="1035"/>
      <c r="E33" s="1035"/>
      <c r="F33" s="1035"/>
      <c r="G33" s="1035"/>
      <c r="H33" s="1035"/>
      <c r="I33" s="1036"/>
    </row>
    <row r="34" spans="1:9">
      <c r="A34" s="1034"/>
      <c r="B34" s="1035"/>
      <c r="C34" s="1035"/>
      <c r="D34" s="1035"/>
      <c r="E34" s="1035"/>
      <c r="F34" s="1035"/>
      <c r="G34" s="1035"/>
      <c r="H34" s="1035"/>
      <c r="I34" s="1036"/>
    </row>
    <row r="35" spans="1:9">
      <c r="A35" s="1034"/>
      <c r="B35" s="1035"/>
      <c r="C35" s="1035"/>
      <c r="D35" s="1035"/>
      <c r="E35" s="1035"/>
      <c r="F35" s="1035"/>
      <c r="G35" s="1035"/>
      <c r="H35" s="1035"/>
      <c r="I35" s="1036"/>
    </row>
    <row r="36" spans="1:9">
      <c r="A36" s="1034"/>
      <c r="B36" s="1035"/>
      <c r="C36" s="1035"/>
      <c r="D36" s="1035"/>
      <c r="E36" s="1035"/>
      <c r="F36" s="1035"/>
      <c r="G36" s="1035"/>
      <c r="H36" s="1035"/>
      <c r="I36" s="1036"/>
    </row>
    <row r="37" spans="1:9">
      <c r="A37" s="1034"/>
      <c r="B37" s="1035"/>
      <c r="C37" s="1035"/>
      <c r="D37" s="1035"/>
      <c r="E37" s="1035"/>
      <c r="F37" s="1035"/>
      <c r="G37" s="1035"/>
      <c r="H37" s="1035"/>
      <c r="I37" s="1036"/>
    </row>
    <row r="38" spans="1:9">
      <c r="A38" s="1034"/>
      <c r="B38" s="1035"/>
      <c r="C38" s="1035"/>
      <c r="D38" s="1035"/>
      <c r="E38" s="1035"/>
      <c r="F38" s="1035"/>
      <c r="G38" s="1035"/>
      <c r="H38" s="1035"/>
      <c r="I38" s="1036"/>
    </row>
    <row r="39" spans="1:9">
      <c r="A39" s="1034"/>
      <c r="B39" s="1035"/>
      <c r="C39" s="1035"/>
      <c r="D39" s="1035"/>
      <c r="E39" s="1035"/>
      <c r="F39" s="1035"/>
      <c r="G39" s="1035"/>
      <c r="H39" s="1035"/>
      <c r="I39" s="1036"/>
    </row>
    <row r="40" spans="1:9">
      <c r="A40" s="1034"/>
      <c r="B40" s="1035"/>
      <c r="C40" s="1035"/>
      <c r="D40" s="1035"/>
      <c r="E40" s="1035"/>
      <c r="F40" s="1035"/>
      <c r="G40" s="1035"/>
      <c r="H40" s="1035"/>
      <c r="I40" s="1036"/>
    </row>
    <row r="41" spans="1:9">
      <c r="A41" s="1034"/>
      <c r="B41" s="1035"/>
      <c r="C41" s="1035"/>
      <c r="D41" s="1035"/>
      <c r="E41" s="1035"/>
      <c r="F41" s="1035"/>
      <c r="G41" s="1035"/>
      <c r="H41" s="1035"/>
      <c r="I41" s="1036"/>
    </row>
    <row r="42" spans="1:9">
      <c r="A42" s="1034"/>
      <c r="B42" s="1035"/>
      <c r="C42" s="1035"/>
      <c r="D42" s="1035"/>
      <c r="E42" s="1035"/>
      <c r="F42" s="1035"/>
      <c r="G42" s="1035"/>
      <c r="H42" s="1035"/>
      <c r="I42" s="1036"/>
    </row>
    <row r="43" spans="1:9">
      <c r="A43" s="1034"/>
      <c r="B43" s="1035"/>
      <c r="C43" s="1035"/>
      <c r="D43" s="1035"/>
      <c r="E43" s="1035"/>
      <c r="F43" s="1035"/>
      <c r="G43" s="1035"/>
      <c r="H43" s="1035"/>
      <c r="I43" s="1036"/>
    </row>
    <row r="44" spans="1:9">
      <c r="A44" s="1034"/>
      <c r="B44" s="1035"/>
      <c r="C44" s="1035"/>
      <c r="D44" s="1035"/>
      <c r="E44" s="1035"/>
      <c r="F44" s="1035"/>
      <c r="G44" s="1035"/>
      <c r="H44" s="1035"/>
      <c r="I44" s="1036"/>
    </row>
    <row r="45" spans="1:9">
      <c r="A45" s="1034"/>
      <c r="B45" s="1035"/>
      <c r="C45" s="1035"/>
      <c r="D45" s="1035"/>
      <c r="E45" s="1035"/>
      <c r="F45" s="1035"/>
      <c r="G45" s="1035"/>
      <c r="H45" s="1035"/>
      <c r="I45" s="1036"/>
    </row>
    <row r="46" spans="1:9">
      <c r="A46" s="1034"/>
      <c r="B46" s="1035"/>
      <c r="C46" s="1035"/>
      <c r="D46" s="1035"/>
      <c r="E46" s="1035"/>
      <c r="F46" s="1035"/>
      <c r="G46" s="1035"/>
      <c r="H46" s="1035"/>
      <c r="I46" s="1036"/>
    </row>
    <row r="47" spans="1:9">
      <c r="A47" s="1037"/>
      <c r="B47" s="1038"/>
      <c r="C47" s="1038"/>
      <c r="D47" s="1038"/>
      <c r="E47" s="1038"/>
      <c r="F47" s="1038"/>
      <c r="G47" s="1038"/>
      <c r="H47" s="1038"/>
      <c r="I47" s="1039"/>
    </row>
  </sheetData>
  <mergeCells count="2">
    <mergeCell ref="A4:I47"/>
    <mergeCell ref="A2:I3"/>
  </mergeCells>
  <pageMargins left="0.7" right="0.7" top="1.3541666666666667" bottom="0.75" header="0.3" footer="0.3"/>
  <pageSetup orientation="portrait" r:id="rId1"/>
  <headerFooter>
    <oddHeader>&amp;L&amp;G&amp;C&amp;"Arial,Bold"&amp;14                INSPECTION AID RECORDS</oddHeader>
    <oddFooter>&amp;C&amp;F</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dimension ref="A2:C26"/>
  <sheetViews>
    <sheetView showGridLines="0" showRowColHeaders="0" view="pageLayout" zoomScaleNormal="100" workbookViewId="0">
      <selection activeCell="A3" sqref="A3"/>
    </sheetView>
  </sheetViews>
  <sheetFormatPr defaultColWidth="0" defaultRowHeight="12.75"/>
  <cols>
    <col min="1" max="1" width="27.140625" customWidth="1"/>
    <col min="2" max="2" width="53.28515625" customWidth="1"/>
    <col min="3" max="3" width="9.140625" customWidth="1"/>
    <col min="4" max="16384" width="9.140625" hidden="1"/>
  </cols>
  <sheetData>
    <row r="2" spans="1:2">
      <c r="A2" s="580"/>
    </row>
    <row r="3" spans="1:2" ht="13.5" thickBot="1">
      <c r="A3" s="580" t="s">
        <v>922</v>
      </c>
    </row>
    <row r="4" spans="1:2">
      <c r="A4" s="616" t="s">
        <v>886</v>
      </c>
      <c r="B4" s="640" t="s">
        <v>887</v>
      </c>
    </row>
    <row r="5" spans="1:2">
      <c r="A5" s="271"/>
      <c r="B5" s="272"/>
    </row>
    <row r="6" spans="1:2">
      <c r="A6" s="271"/>
      <c r="B6" s="272"/>
    </row>
    <row r="7" spans="1:2">
      <c r="A7" s="271"/>
      <c r="B7" s="272"/>
    </row>
    <row r="8" spans="1:2">
      <c r="A8" s="271"/>
      <c r="B8" s="272"/>
    </row>
    <row r="9" spans="1:2">
      <c r="A9" s="271"/>
      <c r="B9" s="272"/>
    </row>
    <row r="10" spans="1:2">
      <c r="A10" s="271"/>
      <c r="B10" s="272"/>
    </row>
    <row r="11" spans="1:2">
      <c r="A11" s="271"/>
      <c r="B11" s="272"/>
    </row>
    <row r="12" spans="1:2">
      <c r="A12" s="271"/>
      <c r="B12" s="272"/>
    </row>
    <row r="13" spans="1:2">
      <c r="A13" s="271"/>
      <c r="B13" s="272"/>
    </row>
    <row r="14" spans="1:2">
      <c r="A14" s="271"/>
      <c r="B14" s="272"/>
    </row>
    <row r="15" spans="1:2">
      <c r="A15" s="271"/>
      <c r="B15" s="272"/>
    </row>
    <row r="16" spans="1:2">
      <c r="A16" s="271"/>
      <c r="B16" s="272"/>
    </row>
    <row r="17" spans="1:2">
      <c r="A17" s="271"/>
      <c r="B17" s="272"/>
    </row>
    <row r="18" spans="1:2">
      <c r="A18" s="271"/>
      <c r="B18" s="272"/>
    </row>
    <row r="19" spans="1:2">
      <c r="A19" s="271"/>
      <c r="B19" s="272"/>
    </row>
    <row r="20" spans="1:2">
      <c r="A20" s="271"/>
      <c r="B20" s="272"/>
    </row>
    <row r="21" spans="1:2">
      <c r="A21" s="271"/>
      <c r="B21" s="272"/>
    </row>
    <row r="22" spans="1:2">
      <c r="A22" s="271"/>
      <c r="B22" s="272"/>
    </row>
    <row r="23" spans="1:2">
      <c r="A23" s="271"/>
      <c r="B23" s="272"/>
    </row>
    <row r="24" spans="1:2">
      <c r="A24" s="271"/>
      <c r="B24" s="272"/>
    </row>
    <row r="25" spans="1:2">
      <c r="A25" s="271"/>
      <c r="B25" s="272"/>
    </row>
    <row r="26" spans="1:2" ht="13.5" thickBot="1">
      <c r="A26" s="273"/>
      <c r="B26" s="275"/>
    </row>
  </sheetData>
  <pageMargins left="0.7" right="0.7" top="1.1666666666666667" bottom="0.75" header="0.3" footer="0.3"/>
  <pageSetup orientation="portrait" r:id="rId1"/>
  <headerFooter>
    <oddHeader>&amp;L&amp;G&amp;C&amp;"Arial,Bold"&amp;14CUSTOMER-SPECIFIC 
REQUIREMENTS</oddHead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dimension ref="A1:J40"/>
  <sheetViews>
    <sheetView showGridLines="0" showRowColHeaders="0" view="pageLayout" zoomScaleNormal="100" workbookViewId="0">
      <selection activeCell="E16" sqref="E16:H16"/>
    </sheetView>
  </sheetViews>
  <sheetFormatPr defaultColWidth="0" defaultRowHeight="12.75"/>
  <cols>
    <col min="1" max="8" width="9.140625" customWidth="1"/>
    <col min="9" max="9" width="10.7109375" customWidth="1"/>
    <col min="10" max="10" width="9.140625" customWidth="1"/>
    <col min="11" max="16384" width="9.140625" hidden="1"/>
  </cols>
  <sheetData>
    <row r="1" spans="1:9" ht="18">
      <c r="A1" s="79"/>
      <c r="B1" s="69"/>
      <c r="C1" s="69"/>
      <c r="D1" s="69"/>
      <c r="E1" s="69"/>
      <c r="F1" s="69"/>
      <c r="G1" s="69"/>
      <c r="H1" s="69"/>
      <c r="I1" s="69"/>
    </row>
    <row r="2" spans="1:9">
      <c r="A2" s="15"/>
    </row>
    <row r="3" spans="1:9">
      <c r="A3" s="886" t="s">
        <v>867</v>
      </c>
      <c r="B3" s="887"/>
      <c r="C3" s="887"/>
      <c r="D3" s="888"/>
      <c r="E3" s="886" t="s">
        <v>868</v>
      </c>
      <c r="F3" s="887"/>
      <c r="G3" s="887"/>
      <c r="H3" s="887"/>
      <c r="I3" s="888"/>
    </row>
    <row r="4" spans="1:9">
      <c r="A4" s="1041">
        <f>'Header Info'!C7</f>
        <v>0</v>
      </c>
      <c r="B4" s="1042"/>
      <c r="C4" s="1042"/>
      <c r="D4" s="1043"/>
      <c r="E4" s="1041">
        <f>'Header Info'!C6</f>
        <v>0</v>
      </c>
      <c r="F4" s="1042"/>
      <c r="G4" s="1042"/>
      <c r="H4" s="1042"/>
      <c r="I4" s="1043"/>
    </row>
    <row r="5" spans="1:9">
      <c r="A5" s="15"/>
    </row>
    <row r="6" spans="1:9">
      <c r="A6" s="34" t="s">
        <v>622</v>
      </c>
      <c r="B6" s="205" t="s">
        <v>683</v>
      </c>
      <c r="C6" s="1047" t="s">
        <v>686</v>
      </c>
      <c r="D6" s="1047"/>
      <c r="E6" s="1047" t="s">
        <v>684</v>
      </c>
      <c r="F6" s="1047"/>
      <c r="G6" s="1047"/>
      <c r="H6" s="1047"/>
      <c r="I6" s="177" t="s">
        <v>685</v>
      </c>
    </row>
    <row r="7" spans="1:9">
      <c r="A7" s="206"/>
      <c r="B7" s="16"/>
      <c r="C7" s="1044"/>
      <c r="D7" s="1045"/>
      <c r="E7" s="1044"/>
      <c r="F7" s="1046"/>
      <c r="G7" s="1046"/>
      <c r="H7" s="1045"/>
      <c r="I7" s="16"/>
    </row>
    <row r="8" spans="1:9">
      <c r="A8" s="34"/>
      <c r="B8" s="16"/>
      <c r="C8" s="1044"/>
      <c r="D8" s="1045"/>
      <c r="E8" s="1044"/>
      <c r="F8" s="1046"/>
      <c r="G8" s="1046"/>
      <c r="H8" s="1045"/>
      <c r="I8" s="16"/>
    </row>
    <row r="9" spans="1:9">
      <c r="A9" s="34"/>
      <c r="B9" s="16"/>
      <c r="C9" s="1044"/>
      <c r="D9" s="1045"/>
      <c r="E9" s="1044"/>
      <c r="F9" s="1046"/>
      <c r="G9" s="1046"/>
      <c r="H9" s="1045"/>
      <c r="I9" s="16"/>
    </row>
    <row r="10" spans="1:9">
      <c r="A10" s="34"/>
      <c r="B10" s="16"/>
      <c r="C10" s="1044"/>
      <c r="D10" s="1045"/>
      <c r="E10" s="1044"/>
      <c r="F10" s="1046"/>
      <c r="G10" s="1046"/>
      <c r="H10" s="1045"/>
      <c r="I10" s="16"/>
    </row>
    <row r="11" spans="1:9">
      <c r="A11" s="34"/>
      <c r="B11" s="16"/>
      <c r="C11" s="1044"/>
      <c r="D11" s="1045"/>
      <c r="E11" s="1044"/>
      <c r="F11" s="1046"/>
      <c r="G11" s="1046"/>
      <c r="H11" s="1045"/>
      <c r="I11" s="16"/>
    </row>
    <row r="12" spans="1:9">
      <c r="A12" s="34"/>
      <c r="B12" s="16"/>
      <c r="C12" s="1044"/>
      <c r="D12" s="1045"/>
      <c r="E12" s="1044"/>
      <c r="F12" s="1046"/>
      <c r="G12" s="1046"/>
      <c r="H12" s="1045"/>
      <c r="I12" s="16"/>
    </row>
    <row r="13" spans="1:9">
      <c r="A13" s="34"/>
      <c r="B13" s="16"/>
      <c r="C13" s="1044"/>
      <c r="D13" s="1045"/>
      <c r="E13" s="1044"/>
      <c r="F13" s="1046"/>
      <c r="G13" s="1046"/>
      <c r="H13" s="1045"/>
      <c r="I13" s="16"/>
    </row>
    <row r="14" spans="1:9">
      <c r="A14" s="34"/>
      <c r="B14" s="16"/>
      <c r="C14" s="1044"/>
      <c r="D14" s="1045"/>
      <c r="E14" s="1044"/>
      <c r="F14" s="1046"/>
      <c r="G14" s="1046"/>
      <c r="H14" s="1045"/>
      <c r="I14" s="16"/>
    </row>
    <row r="15" spans="1:9">
      <c r="A15" s="34"/>
      <c r="B15" s="16"/>
      <c r="C15" s="1044"/>
      <c r="D15" s="1045"/>
      <c r="E15" s="1044"/>
      <c r="F15" s="1046"/>
      <c r="G15" s="1046"/>
      <c r="H15" s="1045"/>
      <c r="I15" s="16"/>
    </row>
    <row r="16" spans="1:9">
      <c r="A16" s="34"/>
      <c r="B16" s="16"/>
      <c r="C16" s="1044"/>
      <c r="D16" s="1045"/>
      <c r="E16" s="1044"/>
      <c r="F16" s="1046"/>
      <c r="G16" s="1046"/>
      <c r="H16" s="1045"/>
      <c r="I16" s="16"/>
    </row>
    <row r="17" spans="1:9">
      <c r="A17" s="34"/>
      <c r="B17" s="16"/>
      <c r="C17" s="1044"/>
      <c r="D17" s="1045"/>
      <c r="E17" s="1044"/>
      <c r="F17" s="1046"/>
      <c r="G17" s="1046"/>
      <c r="H17" s="1045"/>
      <c r="I17" s="16"/>
    </row>
    <row r="18" spans="1:9">
      <c r="A18" s="34"/>
      <c r="B18" s="16"/>
      <c r="C18" s="1044"/>
      <c r="D18" s="1045"/>
      <c r="E18" s="1044"/>
      <c r="F18" s="1046"/>
      <c r="G18" s="1046"/>
      <c r="H18" s="1045"/>
      <c r="I18" s="16"/>
    </row>
    <row r="19" spans="1:9">
      <c r="A19" s="34"/>
      <c r="B19" s="16"/>
      <c r="C19" s="1044"/>
      <c r="D19" s="1045"/>
      <c r="E19" s="1044"/>
      <c r="F19" s="1046"/>
      <c r="G19" s="1046"/>
      <c r="H19" s="1045"/>
      <c r="I19" s="16"/>
    </row>
    <row r="20" spans="1:9">
      <c r="A20" s="34"/>
      <c r="B20" s="16"/>
      <c r="C20" s="1044"/>
      <c r="D20" s="1045"/>
      <c r="E20" s="1044"/>
      <c r="F20" s="1046"/>
      <c r="G20" s="1046"/>
      <c r="H20" s="1045"/>
      <c r="I20" s="16"/>
    </row>
    <row r="21" spans="1:9">
      <c r="A21" s="34"/>
      <c r="B21" s="16"/>
      <c r="C21" s="1044"/>
      <c r="D21" s="1045"/>
      <c r="E21" s="1044"/>
      <c r="F21" s="1046"/>
      <c r="G21" s="1046"/>
      <c r="H21" s="1045"/>
      <c r="I21" s="16"/>
    </row>
    <row r="22" spans="1:9">
      <c r="A22" s="34"/>
      <c r="B22" s="16"/>
      <c r="C22" s="1044"/>
      <c r="D22" s="1045"/>
      <c r="E22" s="1044"/>
      <c r="F22" s="1046"/>
      <c r="G22" s="1046"/>
      <c r="H22" s="1045"/>
      <c r="I22" s="16"/>
    </row>
    <row r="23" spans="1:9">
      <c r="A23" s="34"/>
      <c r="B23" s="16"/>
      <c r="C23" s="1044"/>
      <c r="D23" s="1045"/>
      <c r="E23" s="1044"/>
      <c r="F23" s="1046"/>
      <c r="G23" s="1046"/>
      <c r="H23" s="1045"/>
      <c r="I23" s="16"/>
    </row>
    <row r="24" spans="1:9">
      <c r="A24" s="34"/>
      <c r="B24" s="16"/>
      <c r="C24" s="1044"/>
      <c r="D24" s="1045"/>
      <c r="E24" s="1044"/>
      <c r="F24" s="1046"/>
      <c r="G24" s="1046"/>
      <c r="H24" s="1045"/>
      <c r="I24" s="16"/>
    </row>
    <row r="25" spans="1:9">
      <c r="A25" s="34"/>
      <c r="B25" s="16"/>
      <c r="C25" s="1044"/>
      <c r="D25" s="1045"/>
      <c r="E25" s="1044"/>
      <c r="F25" s="1046"/>
      <c r="G25" s="1046"/>
      <c r="H25" s="1045"/>
      <c r="I25" s="16"/>
    </row>
    <row r="26" spans="1:9">
      <c r="A26" s="34"/>
      <c r="B26" s="16"/>
      <c r="C26" s="1044"/>
      <c r="D26" s="1045"/>
      <c r="E26" s="1044"/>
      <c r="F26" s="1046"/>
      <c r="G26" s="1046"/>
      <c r="H26" s="1045"/>
      <c r="I26" s="16"/>
    </row>
    <row r="27" spans="1:9">
      <c r="A27" s="34"/>
      <c r="B27" s="16"/>
      <c r="C27" s="1044"/>
      <c r="D27" s="1045"/>
      <c r="E27" s="1044"/>
      <c r="F27" s="1046"/>
      <c r="G27" s="1046"/>
      <c r="H27" s="1045"/>
      <c r="I27" s="16"/>
    </row>
    <row r="28" spans="1:9">
      <c r="A28" s="34"/>
      <c r="B28" s="16"/>
      <c r="C28" s="1044"/>
      <c r="D28" s="1045"/>
      <c r="E28" s="1044"/>
      <c r="F28" s="1046"/>
      <c r="G28" s="1046"/>
      <c r="H28" s="1045"/>
      <c r="I28" s="16"/>
    </row>
    <row r="29" spans="1:9">
      <c r="A29" s="34"/>
      <c r="B29" s="16"/>
      <c r="C29" s="1044"/>
      <c r="D29" s="1045"/>
      <c r="E29" s="1044"/>
      <c r="F29" s="1046"/>
      <c r="G29" s="1046"/>
      <c r="H29" s="1045"/>
      <c r="I29" s="16"/>
    </row>
    <row r="30" spans="1:9">
      <c r="A30" s="34"/>
      <c r="B30" s="16"/>
      <c r="C30" s="1044"/>
      <c r="D30" s="1045"/>
      <c r="E30" s="1044"/>
      <c r="F30" s="1046"/>
      <c r="G30" s="1046"/>
      <c r="H30" s="1045"/>
      <c r="I30" s="16"/>
    </row>
    <row r="31" spans="1:9">
      <c r="A31" s="34"/>
      <c r="B31" s="16"/>
      <c r="C31" s="1044"/>
      <c r="D31" s="1045"/>
      <c r="E31" s="1044"/>
      <c r="F31" s="1046"/>
      <c r="G31" s="1046"/>
      <c r="H31" s="1045"/>
      <c r="I31" s="16"/>
    </row>
    <row r="32" spans="1:9">
      <c r="A32" s="34"/>
      <c r="B32" s="16"/>
      <c r="C32" s="1044"/>
      <c r="D32" s="1045"/>
      <c r="E32" s="1044"/>
      <c r="F32" s="1046"/>
      <c r="G32" s="1046"/>
      <c r="H32" s="1045"/>
      <c r="I32" s="16"/>
    </row>
    <row r="33" spans="1:9">
      <c r="A33" s="34"/>
      <c r="B33" s="16"/>
      <c r="C33" s="1044"/>
      <c r="D33" s="1045"/>
      <c r="E33" s="1044"/>
      <c r="F33" s="1046"/>
      <c r="G33" s="1046"/>
      <c r="H33" s="1045"/>
      <c r="I33" s="16"/>
    </row>
    <row r="34" spans="1:9">
      <c r="A34" s="34"/>
      <c r="B34" s="16"/>
      <c r="C34" s="1044"/>
      <c r="D34" s="1045"/>
      <c r="E34" s="1044"/>
      <c r="F34" s="1046"/>
      <c r="G34" s="1046"/>
      <c r="H34" s="1045"/>
      <c r="I34" s="16"/>
    </row>
    <row r="35" spans="1:9">
      <c r="A35" s="34"/>
      <c r="B35" s="16"/>
      <c r="C35" s="1044"/>
      <c r="D35" s="1045"/>
      <c r="E35" s="1044"/>
      <c r="F35" s="1046"/>
      <c r="G35" s="1046"/>
      <c r="H35" s="1045"/>
      <c r="I35" s="16"/>
    </row>
    <row r="36" spans="1:9">
      <c r="A36" s="34"/>
      <c r="B36" s="16"/>
      <c r="C36" s="1044"/>
      <c r="D36" s="1045"/>
      <c r="E36" s="1044"/>
      <c r="F36" s="1046"/>
      <c r="G36" s="1046"/>
      <c r="H36" s="1045"/>
      <c r="I36" s="16"/>
    </row>
    <row r="37" spans="1:9">
      <c r="A37" s="34"/>
      <c r="B37" s="16"/>
      <c r="C37" s="1044"/>
      <c r="D37" s="1045"/>
      <c r="E37" s="1044"/>
      <c r="F37" s="1046"/>
      <c r="G37" s="1046"/>
      <c r="H37" s="1045"/>
      <c r="I37" s="16"/>
    </row>
    <row r="38" spans="1:9">
      <c r="A38" s="34"/>
      <c r="B38" s="16"/>
      <c r="C38" s="1044"/>
      <c r="D38" s="1045"/>
      <c r="E38" s="1044"/>
      <c r="F38" s="1046"/>
      <c r="G38" s="1046"/>
      <c r="H38" s="1045"/>
      <c r="I38" s="16"/>
    </row>
    <row r="39" spans="1:9">
      <c r="A39" s="34"/>
      <c r="B39" s="16"/>
      <c r="C39" s="1044"/>
      <c r="D39" s="1045"/>
      <c r="E39" s="1044"/>
      <c r="F39" s="1046"/>
      <c r="G39" s="1046"/>
      <c r="H39" s="1045"/>
      <c r="I39" s="16"/>
    </row>
    <row r="40" spans="1:9">
      <c r="A40" s="34"/>
      <c r="B40" s="16"/>
      <c r="C40" s="1044"/>
      <c r="D40" s="1045"/>
      <c r="E40" s="1044"/>
      <c r="F40" s="1046"/>
      <c r="G40" s="1046"/>
      <c r="H40" s="1045"/>
      <c r="I40" s="16"/>
    </row>
  </sheetData>
  <mergeCells count="74">
    <mergeCell ref="E16:H16"/>
    <mergeCell ref="C6:D6"/>
    <mergeCell ref="E6:H6"/>
    <mergeCell ref="E7:H7"/>
    <mergeCell ref="E8:H8"/>
    <mergeCell ref="E9:H9"/>
    <mergeCell ref="E10:H10"/>
    <mergeCell ref="E11:H11"/>
    <mergeCell ref="E12:H12"/>
    <mergeCell ref="E13:H13"/>
    <mergeCell ref="E14:H14"/>
    <mergeCell ref="E15:H15"/>
    <mergeCell ref="E30:H30"/>
    <mergeCell ref="E24:H24"/>
    <mergeCell ref="E23:H23"/>
    <mergeCell ref="E17:H17"/>
    <mergeCell ref="E18:H18"/>
    <mergeCell ref="E19:H19"/>
    <mergeCell ref="E20:H20"/>
    <mergeCell ref="E21:H21"/>
    <mergeCell ref="E22:H22"/>
    <mergeCell ref="E25:H25"/>
    <mergeCell ref="E26:H26"/>
    <mergeCell ref="E27:H27"/>
    <mergeCell ref="E28:H28"/>
    <mergeCell ref="E29:H29"/>
    <mergeCell ref="E37:H37"/>
    <mergeCell ref="E38:H38"/>
    <mergeCell ref="E39:H39"/>
    <mergeCell ref="E40:H40"/>
    <mergeCell ref="C7:D7"/>
    <mergeCell ref="C8:D8"/>
    <mergeCell ref="C9:D9"/>
    <mergeCell ref="C10:D10"/>
    <mergeCell ref="C11:D11"/>
    <mergeCell ref="C12:D12"/>
    <mergeCell ref="E31:H31"/>
    <mergeCell ref="E32:H32"/>
    <mergeCell ref="E33:H33"/>
    <mergeCell ref="E34:H34"/>
    <mergeCell ref="E35:H35"/>
    <mergeCell ref="E36:H36"/>
    <mergeCell ref="C21:D21"/>
    <mergeCell ref="C22:D22"/>
    <mergeCell ref="C23:D23"/>
    <mergeCell ref="C13:D13"/>
    <mergeCell ref="C14:D14"/>
    <mergeCell ref="C15:D15"/>
    <mergeCell ref="C16:D16"/>
    <mergeCell ref="C17:D17"/>
    <mergeCell ref="C18:D18"/>
    <mergeCell ref="C40:D40"/>
    <mergeCell ref="C33:D33"/>
    <mergeCell ref="C34:D34"/>
    <mergeCell ref="C35:D35"/>
    <mergeCell ref="C36:D36"/>
    <mergeCell ref="C37:D37"/>
    <mergeCell ref="C38:D38"/>
    <mergeCell ref="A3:D3"/>
    <mergeCell ref="A4:D4"/>
    <mergeCell ref="E3:I3"/>
    <mergeCell ref="E4:I4"/>
    <mergeCell ref="C39:D39"/>
    <mergeCell ref="C27:D27"/>
    <mergeCell ref="C28:D28"/>
    <mergeCell ref="C29:D29"/>
    <mergeCell ref="C30:D30"/>
    <mergeCell ref="C31:D31"/>
    <mergeCell ref="C32:D32"/>
    <mergeCell ref="C24:D24"/>
    <mergeCell ref="C25:D25"/>
    <mergeCell ref="C26:D26"/>
    <mergeCell ref="C19:D19"/>
    <mergeCell ref="C20:D20"/>
  </mergeCells>
  <pageMargins left="0.7" right="0.7" top="1.09375" bottom="0.75" header="0.3" footer="0.3"/>
  <pageSetup orientation="portrait" r:id="rId1"/>
  <headerFooter>
    <oddHeader>&amp;L&amp;G&amp;C&amp;"Arial,Bold"&amp;14FILE HISTORY</oddHeader>
    <oddFooter>&amp;C&amp;F</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
    <pageSetUpPr fitToPage="1"/>
  </sheetPr>
  <dimension ref="A1:IU8"/>
  <sheetViews>
    <sheetView showGridLines="0" showRowColHeaders="0" view="pageLayout" zoomScaleNormal="100" workbookViewId="0">
      <selection activeCell="C18" sqref="C18"/>
    </sheetView>
  </sheetViews>
  <sheetFormatPr defaultColWidth="0" defaultRowHeight="12.75"/>
  <cols>
    <col min="1" max="1" width="3.5703125" customWidth="1"/>
    <col min="2" max="2" width="14.28515625" customWidth="1"/>
    <col min="3" max="3" width="43.28515625" customWidth="1"/>
    <col min="4" max="4" width="13.42578125" customWidth="1"/>
    <col min="5" max="5" width="13.42578125" style="15" customWidth="1"/>
    <col min="6" max="6" width="0.42578125" customWidth="1"/>
    <col min="7" max="255" width="8.85546875" hidden="1" customWidth="1"/>
    <col min="256" max="16384" width="4.85546875" hidden="1"/>
  </cols>
  <sheetData>
    <row r="1" spans="1:5">
      <c r="A1" t="s">
        <v>389</v>
      </c>
    </row>
    <row r="3" spans="1:5" ht="18">
      <c r="A3" s="199"/>
      <c r="B3" s="200" t="s">
        <v>387</v>
      </c>
      <c r="C3" s="200" t="s">
        <v>388</v>
      </c>
      <c r="D3" s="195" t="s">
        <v>307</v>
      </c>
      <c r="E3" s="195" t="s">
        <v>308</v>
      </c>
    </row>
    <row r="4" spans="1:5" ht="25.5" customHeight="1">
      <c r="B4" s="1048" t="s">
        <v>322</v>
      </c>
      <c r="C4" s="1048"/>
      <c r="D4" s="196" t="s">
        <v>390</v>
      </c>
      <c r="E4" s="197">
        <v>39630</v>
      </c>
    </row>
    <row r="5" spans="1:5">
      <c r="B5" s="114" t="s">
        <v>323</v>
      </c>
      <c r="D5" s="198" t="s">
        <v>361</v>
      </c>
      <c r="E5" s="198">
        <v>40330</v>
      </c>
    </row>
    <row r="6" spans="1:5">
      <c r="B6" s="114" t="s">
        <v>324</v>
      </c>
      <c r="D6" s="198" t="s">
        <v>361</v>
      </c>
      <c r="E6" s="198">
        <v>39600</v>
      </c>
    </row>
    <row r="7" spans="1:5">
      <c r="B7" s="114" t="s">
        <v>325</v>
      </c>
      <c r="D7" s="15" t="s">
        <v>361</v>
      </c>
      <c r="E7" s="198">
        <v>38782</v>
      </c>
    </row>
    <row r="8" spans="1:5">
      <c r="B8" s="114"/>
    </row>
  </sheetData>
  <mergeCells count="1">
    <mergeCell ref="B4:C4"/>
  </mergeCells>
  <phoneticPr fontId="27" type="noConversion"/>
  <printOptions horizontalCentered="1"/>
  <pageMargins left="0.75" right="1" top="1.8086458333333333" bottom="1" header="0.5" footer="0.5"/>
  <pageSetup scale="99" orientation="portrait" horizontalDpi="300" r:id="rId1"/>
  <headerFooter alignWithMargins="0">
    <oddHeader>&amp;L&amp;G</oddHeader>
    <oddFooter>&amp;C&amp;F</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47"/>
  <dimension ref="A2:K36"/>
  <sheetViews>
    <sheetView showGridLines="0" view="pageLayout" zoomScaleNormal="100" workbookViewId="0">
      <selection activeCell="I13" sqref="I13"/>
    </sheetView>
  </sheetViews>
  <sheetFormatPr defaultColWidth="0" defaultRowHeight="12.75"/>
  <cols>
    <col min="1" max="1" width="5" customWidth="1"/>
    <col min="2" max="5" width="8.42578125" customWidth="1"/>
    <col min="6" max="6" width="10.85546875" customWidth="1"/>
    <col min="7" max="8" width="9.42578125" customWidth="1"/>
    <col min="9" max="9" width="15.42578125" customWidth="1"/>
    <col min="10" max="10" width="10.140625" customWidth="1"/>
    <col min="11" max="11" width="0.7109375" customWidth="1"/>
    <col min="12" max="16384" width="9.140625" hidden="1"/>
  </cols>
  <sheetData>
    <row r="2" spans="1:10" ht="15.75">
      <c r="H2" s="132" t="s">
        <v>675</v>
      </c>
    </row>
    <row r="3" spans="1:10" ht="15.6" customHeight="1">
      <c r="A3" s="1049" t="s">
        <v>869</v>
      </c>
      <c r="B3" s="1049"/>
      <c r="C3" s="1049"/>
      <c r="D3" s="1049"/>
      <c r="E3" s="1050"/>
      <c r="F3" s="129" t="s">
        <v>669</v>
      </c>
      <c r="G3" s="1044" t="s">
        <v>517</v>
      </c>
      <c r="H3" s="1045"/>
      <c r="I3" s="35" t="s">
        <v>671</v>
      </c>
      <c r="J3" s="35" t="s">
        <v>673</v>
      </c>
    </row>
    <row r="4" spans="1:10">
      <c r="A4" s="1051"/>
      <c r="B4" s="1051"/>
      <c r="C4" s="1051"/>
      <c r="D4" s="1051"/>
      <c r="E4" s="1052"/>
      <c r="F4" s="130" t="s">
        <v>670</v>
      </c>
      <c r="G4" s="35" t="s">
        <v>15</v>
      </c>
      <c r="H4" s="35" t="s">
        <v>576</v>
      </c>
      <c r="I4" s="28" t="s">
        <v>672</v>
      </c>
      <c r="J4" s="28" t="s">
        <v>674</v>
      </c>
    </row>
    <row r="5" spans="1:10" ht="23.25" customHeight="1">
      <c r="A5" s="192" t="s">
        <v>649</v>
      </c>
      <c r="B5" s="23"/>
      <c r="C5" s="23"/>
      <c r="D5" s="23"/>
      <c r="E5" s="23"/>
      <c r="F5" s="23"/>
      <c r="G5" s="23"/>
      <c r="H5" s="23"/>
      <c r="I5" s="23"/>
      <c r="J5" s="24"/>
    </row>
    <row r="6" spans="1:10" ht="18" customHeight="1">
      <c r="A6" s="131"/>
      <c r="B6" s="23" t="s">
        <v>651</v>
      </c>
      <c r="C6" s="23"/>
      <c r="D6" s="23"/>
      <c r="E6" s="24"/>
      <c r="F6" s="16"/>
      <c r="G6" s="16"/>
      <c r="H6" s="16"/>
      <c r="I6" s="16"/>
      <c r="J6" s="16"/>
    </row>
    <row r="7" spans="1:10" ht="18" customHeight="1">
      <c r="A7" s="112"/>
      <c r="B7" s="6" t="s">
        <v>650</v>
      </c>
      <c r="C7" s="6"/>
      <c r="D7" s="6"/>
      <c r="E7" s="7"/>
      <c r="F7" s="16"/>
      <c r="G7" s="16"/>
      <c r="H7" s="16"/>
      <c r="I7" s="16"/>
      <c r="J7" s="16"/>
    </row>
    <row r="8" spans="1:10" ht="18" customHeight="1">
      <c r="A8" s="131"/>
      <c r="B8" s="23" t="s">
        <v>652</v>
      </c>
      <c r="C8" s="23"/>
      <c r="D8" s="23"/>
      <c r="E8" s="24"/>
      <c r="F8" s="16"/>
      <c r="G8" s="16"/>
      <c r="H8" s="16"/>
      <c r="I8" s="16"/>
      <c r="J8" s="16"/>
    </row>
    <row r="9" spans="1:10" ht="18" customHeight="1">
      <c r="A9" s="113"/>
      <c r="B9" t="s">
        <v>653</v>
      </c>
      <c r="E9" s="9"/>
      <c r="F9" s="16"/>
      <c r="G9" s="16"/>
      <c r="H9" s="16"/>
      <c r="I9" s="16"/>
      <c r="J9" s="16"/>
    </row>
    <row r="10" spans="1:10" ht="18" customHeight="1">
      <c r="A10" s="131"/>
      <c r="B10" s="23" t="s">
        <v>654</v>
      </c>
      <c r="C10" s="23"/>
      <c r="D10" s="23"/>
      <c r="E10" s="24"/>
      <c r="F10" s="16"/>
      <c r="G10" s="16"/>
      <c r="H10" s="16"/>
      <c r="I10" s="16"/>
      <c r="J10" s="16"/>
    </row>
    <row r="11" spans="1:10" ht="18" customHeight="1">
      <c r="A11" s="113"/>
      <c r="B11" t="s">
        <v>655</v>
      </c>
      <c r="E11" s="9"/>
      <c r="F11" s="16"/>
      <c r="G11" s="16"/>
      <c r="H11" s="16"/>
      <c r="I11" s="16"/>
      <c r="J11" s="16"/>
    </row>
    <row r="12" spans="1:10" ht="18" customHeight="1">
      <c r="A12" s="131"/>
      <c r="B12" s="23" t="s">
        <v>656</v>
      </c>
      <c r="C12" s="23"/>
      <c r="D12" s="23"/>
      <c r="E12" s="24"/>
      <c r="F12" s="16"/>
      <c r="G12" s="16"/>
      <c r="H12" s="16"/>
      <c r="I12" s="16"/>
      <c r="J12" s="16"/>
    </row>
    <row r="13" spans="1:10" ht="18" customHeight="1">
      <c r="A13" s="113"/>
      <c r="B13" t="s">
        <v>657</v>
      </c>
      <c r="E13" s="9"/>
      <c r="F13" s="16"/>
      <c r="G13" s="16"/>
      <c r="H13" s="16"/>
      <c r="I13" s="16"/>
      <c r="J13" s="16"/>
    </row>
    <row r="14" spans="1:10" ht="18" customHeight="1">
      <c r="A14" s="131"/>
      <c r="B14" s="23" t="s">
        <v>21</v>
      </c>
      <c r="C14" s="23"/>
      <c r="D14" s="23"/>
      <c r="E14" s="24"/>
      <c r="F14" s="16"/>
      <c r="G14" s="16"/>
      <c r="H14" s="16"/>
      <c r="I14" s="16"/>
      <c r="J14" s="16"/>
    </row>
    <row r="15" spans="1:10" ht="18" customHeight="1">
      <c r="A15" s="131"/>
      <c r="B15" s="23" t="s">
        <v>658</v>
      </c>
      <c r="C15" s="23"/>
      <c r="D15" s="23"/>
      <c r="E15" s="24"/>
      <c r="F15" s="16"/>
      <c r="G15" s="16"/>
      <c r="H15" s="16"/>
      <c r="I15" s="16"/>
      <c r="J15" s="16"/>
    </row>
    <row r="16" spans="1:10" ht="18" customHeight="1">
      <c r="A16" s="32"/>
      <c r="B16" s="1" t="s">
        <v>659</v>
      </c>
      <c r="C16" s="1"/>
      <c r="D16" s="1"/>
      <c r="E16" s="11"/>
      <c r="F16" s="16"/>
      <c r="G16" s="16"/>
      <c r="H16" s="16"/>
      <c r="I16" s="16"/>
      <c r="J16" s="16"/>
    </row>
    <row r="17" spans="1:10" ht="22.5" customHeight="1">
      <c r="A17" s="192" t="s">
        <v>379</v>
      </c>
      <c r="B17" s="23"/>
      <c r="C17" s="23"/>
      <c r="D17" s="23"/>
      <c r="E17" s="23"/>
      <c r="F17" s="23"/>
      <c r="G17" s="23"/>
      <c r="H17" s="23"/>
      <c r="I17" s="23"/>
      <c r="J17" s="24"/>
    </row>
    <row r="18" spans="1:10" ht="18" customHeight="1">
      <c r="A18" s="112"/>
      <c r="B18" s="6" t="s">
        <v>660</v>
      </c>
      <c r="C18" s="6"/>
      <c r="D18" s="6"/>
      <c r="E18" s="7"/>
      <c r="F18" s="16"/>
      <c r="G18" s="16"/>
      <c r="H18" s="16"/>
      <c r="I18" s="16"/>
      <c r="J18" s="16"/>
    </row>
    <row r="19" spans="1:10" ht="18" customHeight="1">
      <c r="A19" s="131"/>
      <c r="B19" s="23" t="s">
        <v>661</v>
      </c>
      <c r="C19" s="23"/>
      <c r="D19" s="23"/>
      <c r="E19" s="24"/>
      <c r="F19" s="16"/>
      <c r="G19" s="16"/>
      <c r="H19" s="16"/>
      <c r="I19" s="16"/>
      <c r="J19" s="16"/>
    </row>
    <row r="20" spans="1:10" ht="18" customHeight="1">
      <c r="A20" s="113"/>
      <c r="B20" t="s">
        <v>652</v>
      </c>
      <c r="E20" s="9"/>
      <c r="F20" s="16"/>
      <c r="G20" s="16"/>
      <c r="H20" s="16"/>
      <c r="I20" s="16"/>
      <c r="J20" s="16"/>
    </row>
    <row r="21" spans="1:10" ht="18" customHeight="1">
      <c r="A21" s="131"/>
      <c r="B21" s="23" t="s">
        <v>662</v>
      </c>
      <c r="C21" s="23"/>
      <c r="D21" s="23"/>
      <c r="E21" s="24"/>
      <c r="F21" s="16"/>
      <c r="G21" s="16"/>
      <c r="H21" s="16"/>
      <c r="I21" s="16"/>
      <c r="J21" s="16"/>
    </row>
    <row r="22" spans="1:10" ht="18" customHeight="1">
      <c r="A22" s="113"/>
      <c r="B22" t="s">
        <v>663</v>
      </c>
      <c r="E22" s="9"/>
      <c r="F22" s="16"/>
      <c r="G22" s="16"/>
      <c r="H22" s="16"/>
      <c r="I22" s="16"/>
      <c r="J22" s="16"/>
    </row>
    <row r="23" spans="1:10" ht="18" customHeight="1">
      <c r="A23" s="131"/>
      <c r="B23" s="23" t="s">
        <v>664</v>
      </c>
      <c r="C23" s="23"/>
      <c r="D23" s="23"/>
      <c r="E23" s="24"/>
      <c r="F23" s="16"/>
      <c r="G23" s="16"/>
      <c r="H23" s="16"/>
      <c r="I23" s="16"/>
      <c r="J23" s="16"/>
    </row>
    <row r="24" spans="1:10" ht="18" customHeight="1">
      <c r="A24" s="32"/>
      <c r="B24" s="1" t="s">
        <v>665</v>
      </c>
      <c r="C24" s="1"/>
      <c r="D24" s="1"/>
      <c r="E24" s="11"/>
      <c r="F24" s="16"/>
      <c r="G24" s="16"/>
      <c r="H24" s="16"/>
      <c r="I24" s="16"/>
      <c r="J24" s="16"/>
    </row>
    <row r="25" spans="1:10" s="85" customFormat="1" ht="24" customHeight="1">
      <c r="A25" s="192" t="s">
        <v>380</v>
      </c>
      <c r="B25" s="125"/>
      <c r="C25" s="125"/>
      <c r="D25" s="125"/>
      <c r="E25" s="125"/>
      <c r="F25" s="125"/>
      <c r="G25" s="125"/>
      <c r="H25" s="125"/>
      <c r="I25" s="125"/>
      <c r="J25" s="193"/>
    </row>
    <row r="26" spans="1:10" ht="18" customHeight="1">
      <c r="A26" s="131"/>
      <c r="B26" s="23" t="s">
        <v>666</v>
      </c>
      <c r="C26" s="23"/>
      <c r="D26" s="23"/>
      <c r="E26" s="24"/>
      <c r="F26" s="16"/>
      <c r="G26" s="16"/>
      <c r="H26" s="16"/>
      <c r="I26" s="16"/>
      <c r="J26" s="16"/>
    </row>
    <row r="27" spans="1:10" ht="18" customHeight="1">
      <c r="A27" s="131"/>
      <c r="B27" s="23" t="s">
        <v>204</v>
      </c>
      <c r="C27" s="23"/>
      <c r="D27" s="23"/>
      <c r="E27" s="24"/>
      <c r="F27" s="16"/>
      <c r="G27" s="16"/>
      <c r="H27" s="16"/>
      <c r="I27" s="16"/>
      <c r="J27" s="16"/>
    </row>
    <row r="28" spans="1:10" ht="22.5" customHeight="1">
      <c r="A28" s="192" t="s">
        <v>381</v>
      </c>
      <c r="B28" s="23"/>
      <c r="C28" s="23"/>
      <c r="D28" s="23"/>
      <c r="E28" s="23"/>
      <c r="F28" s="23"/>
      <c r="G28" s="23"/>
      <c r="H28" s="23"/>
      <c r="I28" s="23"/>
      <c r="J28" s="24"/>
    </row>
    <row r="29" spans="1:10" ht="18" customHeight="1">
      <c r="A29" s="5"/>
      <c r="B29" s="6" t="s">
        <v>667</v>
      </c>
      <c r="C29" s="6"/>
      <c r="D29" s="6"/>
      <c r="E29" s="7"/>
      <c r="F29" s="16"/>
      <c r="G29" s="16"/>
      <c r="H29" s="16"/>
      <c r="I29" s="16"/>
      <c r="J29" s="16"/>
    </row>
    <row r="30" spans="1:10" ht="18" customHeight="1">
      <c r="A30" s="5"/>
      <c r="B30" s="6" t="s">
        <v>382</v>
      </c>
      <c r="C30" s="6"/>
      <c r="D30" s="6"/>
      <c r="E30" s="7"/>
      <c r="F30" s="16"/>
      <c r="G30" s="16"/>
      <c r="H30" s="16"/>
      <c r="I30" s="16"/>
      <c r="J30" s="16"/>
    </row>
    <row r="31" spans="1:10" ht="18" customHeight="1">
      <c r="A31" s="27"/>
      <c r="B31" s="23" t="s">
        <v>668</v>
      </c>
      <c r="C31" s="23"/>
      <c r="D31" s="23"/>
      <c r="E31" s="24"/>
      <c r="F31" s="16"/>
      <c r="G31" s="16"/>
      <c r="H31" s="16"/>
      <c r="I31" s="16"/>
      <c r="J31" s="16"/>
    </row>
    <row r="32" spans="1:10" ht="18" customHeight="1">
      <c r="A32" s="10"/>
      <c r="B32" s="1" t="s">
        <v>383</v>
      </c>
      <c r="C32" s="1"/>
      <c r="D32" s="1"/>
      <c r="E32" s="11"/>
      <c r="F32" s="16"/>
      <c r="G32" s="16"/>
      <c r="H32" s="16"/>
      <c r="I32" s="16"/>
      <c r="J32" s="16"/>
    </row>
    <row r="33" spans="1:10" ht="18" customHeight="1">
      <c r="A33" s="27"/>
      <c r="B33" s="23"/>
      <c r="C33" s="23"/>
      <c r="D33" s="23"/>
      <c r="E33" s="24"/>
      <c r="F33" s="16"/>
      <c r="G33" s="16"/>
      <c r="H33" s="16"/>
      <c r="I33" s="16"/>
      <c r="J33" s="16"/>
    </row>
    <row r="34" spans="1:10" ht="18" customHeight="1">
      <c r="A34" s="27"/>
      <c r="B34" s="23"/>
      <c r="C34" s="23"/>
      <c r="D34" s="23"/>
      <c r="E34" s="24"/>
      <c r="F34" s="16"/>
      <c r="G34" s="16"/>
      <c r="H34" s="16"/>
      <c r="I34" s="16"/>
      <c r="J34" s="16"/>
    </row>
    <row r="35" spans="1:10" ht="18" customHeight="1">
      <c r="A35" s="1053" t="s">
        <v>384</v>
      </c>
      <c r="B35" s="1054"/>
      <c r="C35" s="1054"/>
      <c r="D35" s="1054"/>
      <c r="E35" s="1054"/>
      <c r="F35" s="1055"/>
      <c r="G35" s="1056" t="s">
        <v>385</v>
      </c>
      <c r="H35" s="1054"/>
      <c r="I35" s="1054"/>
      <c r="J35" s="1055"/>
    </row>
    <row r="36" spans="1:10" ht="18" customHeight="1">
      <c r="A36" s="865"/>
      <c r="B36" s="866"/>
      <c r="C36" s="866"/>
      <c r="D36" s="866"/>
      <c r="E36" s="866"/>
      <c r="F36" s="867"/>
      <c r="G36" s="865"/>
      <c r="H36" s="866"/>
      <c r="I36" s="866"/>
      <c r="J36" s="867"/>
    </row>
  </sheetData>
  <mergeCells count="6">
    <mergeCell ref="G3:H3"/>
    <mergeCell ref="A3:E4"/>
    <mergeCell ref="A36:F36"/>
    <mergeCell ref="G36:J36"/>
    <mergeCell ref="A35:F35"/>
    <mergeCell ref="G35:J35"/>
  </mergeCells>
  <phoneticPr fontId="27" type="noConversion"/>
  <printOptions horizontalCentered="1"/>
  <pageMargins left="0.5" right="0.5" top="1.0520833333333333" bottom="0.5" header="0.25" footer="0.5"/>
  <pageSetup orientation="portrait" horizontalDpi="300" verticalDpi="1200" r:id="rId1"/>
  <headerFooter alignWithMargins="0">
    <oddHeader>&amp;L&amp;G&amp;C&amp;"Arial,Bold"&amp;14BULK MATERIALS</oddHeader>
    <oddFooter>&amp;C&amp;F</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8">
    <pageSetUpPr fitToPage="1"/>
  </sheetPr>
  <dimension ref="A3:AC55"/>
  <sheetViews>
    <sheetView showGridLines="0" showRowColHeaders="0" view="pageLayout" zoomScaleNormal="100" workbookViewId="0">
      <selection activeCell="W13" sqref="W13"/>
    </sheetView>
  </sheetViews>
  <sheetFormatPr defaultColWidth="0" defaultRowHeight="12.75"/>
  <cols>
    <col min="1" max="26" width="3.28515625" customWidth="1"/>
    <col min="27" max="27" width="1.85546875" customWidth="1"/>
    <col min="28" max="28" width="0.7109375" customWidth="1"/>
    <col min="29" max="16384" width="9.140625" hidden="1"/>
  </cols>
  <sheetData>
    <row r="3" spans="1:27" ht="18">
      <c r="A3" s="889" t="s">
        <v>676</v>
      </c>
      <c r="B3" s="889"/>
      <c r="C3" s="889"/>
      <c r="D3" s="889"/>
      <c r="E3" s="889"/>
      <c r="F3" s="889"/>
      <c r="G3" s="889"/>
      <c r="H3" s="889"/>
      <c r="I3" s="889"/>
      <c r="J3" s="889"/>
      <c r="K3" s="889"/>
      <c r="L3" s="889"/>
      <c r="M3" s="889"/>
      <c r="N3" s="889"/>
      <c r="O3" s="889"/>
      <c r="P3" s="889"/>
      <c r="Q3" s="889"/>
      <c r="R3" s="889"/>
      <c r="S3" s="889"/>
      <c r="T3" s="889"/>
      <c r="U3" s="889"/>
      <c r="V3" s="889"/>
      <c r="W3" s="889"/>
      <c r="X3" s="889"/>
      <c r="Y3" s="889"/>
      <c r="Z3" s="889"/>
      <c r="AA3" s="889"/>
    </row>
    <row r="5" spans="1:27" ht="13.15" customHeight="1">
      <c r="A5" s="1111" t="s">
        <v>823</v>
      </c>
      <c r="B5" s="1111"/>
      <c r="C5" s="1111"/>
      <c r="D5" s="1111"/>
      <c r="E5" s="1111"/>
      <c r="F5" s="1112">
        <f>'Header Info'!C11</f>
        <v>0</v>
      </c>
      <c r="G5" s="1112"/>
      <c r="H5" s="1112"/>
      <c r="I5" s="1112"/>
      <c r="J5" s="1112"/>
      <c r="K5" s="1112"/>
      <c r="L5" s="1112"/>
      <c r="M5" s="580"/>
      <c r="N5" s="580" t="s">
        <v>133</v>
      </c>
      <c r="O5" s="580"/>
      <c r="P5" s="580"/>
      <c r="Q5" s="580"/>
      <c r="R5" s="1112">
        <f>'Header Info'!C6</f>
        <v>0</v>
      </c>
      <c r="S5" s="1112"/>
      <c r="T5" s="1112"/>
      <c r="U5" s="1112"/>
      <c r="V5" s="1112"/>
      <c r="W5" s="1112"/>
      <c r="X5" s="1112"/>
      <c r="Y5" s="1112"/>
      <c r="Z5" s="1112"/>
      <c r="AA5" s="1112"/>
    </row>
    <row r="6" spans="1:27">
      <c r="A6" s="1111" t="s">
        <v>824</v>
      </c>
      <c r="B6" s="1111"/>
      <c r="C6" s="1111"/>
      <c r="D6" s="1111"/>
      <c r="E6" s="1111"/>
      <c r="F6" s="1113">
        <f>'Header Info'!C12</f>
        <v>0</v>
      </c>
      <c r="G6" s="1113"/>
      <c r="H6" s="1113"/>
      <c r="I6" s="1113"/>
      <c r="J6" s="1113"/>
      <c r="K6" s="1113"/>
      <c r="L6" s="1113"/>
      <c r="M6" s="580"/>
      <c r="N6" s="580" t="s">
        <v>413</v>
      </c>
      <c r="O6" s="580"/>
      <c r="P6" s="580"/>
      <c r="Q6" s="1065">
        <f>'Header Info'!C7</f>
        <v>0</v>
      </c>
      <c r="R6" s="1065"/>
      <c r="S6" s="1065"/>
      <c r="T6" s="1065"/>
      <c r="U6" s="1065"/>
      <c r="V6" s="1065"/>
      <c r="W6" s="1065"/>
      <c r="X6" s="1065"/>
      <c r="Y6" s="1065"/>
      <c r="Z6" s="1065"/>
      <c r="AA6" s="1065"/>
    </row>
    <row r="7" spans="1:27" ht="13.15" customHeight="1">
      <c r="A7" s="580"/>
      <c r="B7" s="617"/>
      <c r="C7" s="617"/>
      <c r="D7" s="617"/>
      <c r="E7" s="617"/>
      <c r="F7" s="580"/>
      <c r="G7" s="618"/>
      <c r="H7" s="618"/>
      <c r="I7" s="618"/>
      <c r="J7" s="618"/>
      <c r="K7" s="618"/>
      <c r="L7" s="618"/>
      <c r="M7" s="580"/>
      <c r="N7" s="580" t="s">
        <v>825</v>
      </c>
      <c r="O7" s="580"/>
      <c r="P7" s="580"/>
      <c r="Q7" s="618"/>
      <c r="R7" s="618"/>
      <c r="S7" s="618"/>
      <c r="T7" s="618"/>
      <c r="U7" s="618"/>
      <c r="V7" s="618"/>
      <c r="W7" s="1113">
        <f>'Header Info'!C8</f>
        <v>0</v>
      </c>
      <c r="X7" s="1113"/>
      <c r="Y7" s="1113"/>
      <c r="Z7" s="1113"/>
      <c r="AA7" s="1113"/>
    </row>
    <row r="8" spans="1:27">
      <c r="A8" s="1063" t="s">
        <v>870</v>
      </c>
      <c r="B8" s="1063"/>
      <c r="C8" s="1063"/>
      <c r="D8" s="1063"/>
      <c r="E8" s="1063"/>
      <c r="F8" s="1063"/>
      <c r="G8" s="1063"/>
      <c r="H8" s="1062"/>
      <c r="I8" s="1062"/>
      <c r="J8" s="1062"/>
      <c r="K8" s="1062"/>
      <c r="L8" s="1062"/>
      <c r="M8" s="1062"/>
      <c r="N8" s="1062"/>
      <c r="O8" s="1062"/>
      <c r="P8" s="1062"/>
      <c r="Q8" s="1062"/>
      <c r="R8" s="1062"/>
      <c r="S8" s="1062"/>
      <c r="T8" s="1062"/>
      <c r="U8" s="1062"/>
      <c r="V8" s="1062"/>
      <c r="W8" s="1062"/>
      <c r="X8" s="1062"/>
      <c r="Y8" s="1062"/>
      <c r="Z8" s="1062"/>
      <c r="AA8" s="1062"/>
    </row>
    <row r="9" spans="1:27">
      <c r="A9" s="580" t="s">
        <v>354</v>
      </c>
      <c r="B9" s="580"/>
      <c r="C9" s="580"/>
      <c r="D9" s="580"/>
      <c r="E9" s="580"/>
      <c r="F9" s="619"/>
      <c r="G9" s="619"/>
      <c r="H9" s="619"/>
      <c r="I9" s="619"/>
      <c r="J9" s="619"/>
      <c r="K9" s="619"/>
      <c r="L9" s="619"/>
      <c r="M9" s="580"/>
      <c r="N9" s="580"/>
      <c r="O9" s="580"/>
      <c r="P9" s="580"/>
      <c r="Q9" s="580"/>
      <c r="R9" s="580"/>
      <c r="S9" s="580"/>
      <c r="T9" s="580"/>
      <c r="U9" s="580"/>
      <c r="V9" s="580"/>
      <c r="W9" s="580"/>
      <c r="X9" s="580"/>
      <c r="Y9" s="580"/>
      <c r="Z9" s="580"/>
      <c r="AA9" s="580"/>
    </row>
    <row r="10" spans="1:27">
      <c r="A10" s="580" t="s">
        <v>352</v>
      </c>
      <c r="B10" s="580"/>
      <c r="C10" s="580"/>
      <c r="D10" s="580"/>
      <c r="E10" s="580"/>
      <c r="F10" s="619"/>
      <c r="G10" s="619"/>
      <c r="H10" s="619"/>
      <c r="I10" s="619"/>
      <c r="J10" s="619"/>
      <c r="K10" s="619"/>
      <c r="L10" s="619"/>
      <c r="M10" s="580" t="s">
        <v>355</v>
      </c>
      <c r="N10" s="580"/>
      <c r="O10" s="580"/>
      <c r="P10" s="580"/>
      <c r="Q10" s="580"/>
      <c r="R10" s="619"/>
      <c r="S10" s="619"/>
      <c r="T10" s="619"/>
      <c r="U10" s="619"/>
      <c r="V10" s="619"/>
      <c r="W10" s="619"/>
      <c r="X10" s="619"/>
      <c r="Y10" s="619"/>
      <c r="Z10" s="619"/>
      <c r="AA10" s="619"/>
    </row>
    <row r="11" spans="1:27">
      <c r="A11" s="580" t="s">
        <v>412</v>
      </c>
      <c r="B11" s="580"/>
      <c r="C11" s="580"/>
      <c r="D11" s="580"/>
      <c r="E11" s="580"/>
      <c r="F11" s="580"/>
      <c r="G11" s="619"/>
      <c r="H11" s="619"/>
      <c r="I11" s="619"/>
      <c r="J11" s="619"/>
      <c r="K11" s="619"/>
      <c r="L11" s="619"/>
      <c r="M11" s="580" t="s">
        <v>356</v>
      </c>
      <c r="N11" s="580"/>
      <c r="O11" s="580"/>
      <c r="P11" s="580"/>
      <c r="Q11" s="580"/>
      <c r="R11" s="580"/>
      <c r="S11" s="620"/>
      <c r="T11" s="620"/>
      <c r="U11" s="620"/>
      <c r="V11" s="620"/>
      <c r="W11" s="620"/>
      <c r="X11" s="620"/>
      <c r="Y11" s="620"/>
      <c r="Z11" s="620"/>
      <c r="AA11" s="620"/>
    </row>
    <row r="12" spans="1:27">
      <c r="A12" s="580" t="s">
        <v>353</v>
      </c>
      <c r="B12" s="580"/>
      <c r="C12" s="580"/>
      <c r="D12" s="580"/>
      <c r="E12" s="580"/>
      <c r="F12" s="619"/>
      <c r="G12" s="619"/>
      <c r="H12" s="619"/>
      <c r="I12" s="619"/>
      <c r="J12" s="619"/>
      <c r="K12" s="619"/>
      <c r="L12" s="619"/>
      <c r="M12" s="580" t="s">
        <v>357</v>
      </c>
      <c r="N12" s="580"/>
      <c r="O12" s="580"/>
      <c r="P12" s="580"/>
      <c r="Q12" s="580"/>
      <c r="R12" s="580"/>
      <c r="S12" s="580"/>
      <c r="T12" s="620"/>
      <c r="U12" s="620"/>
      <c r="V12" s="620"/>
      <c r="W12" s="620"/>
      <c r="X12" s="620"/>
      <c r="Y12" s="620"/>
      <c r="Z12" s="620"/>
      <c r="AA12" s="620"/>
    </row>
    <row r="13" spans="1:27" s="632" customFormat="1" ht="7.5" thickBot="1"/>
    <row r="14" spans="1:27" ht="6.75" customHeight="1">
      <c r="A14" s="621"/>
      <c r="B14" s="622"/>
      <c r="C14" s="622"/>
      <c r="D14" s="622"/>
      <c r="E14" s="622"/>
      <c r="F14" s="622"/>
      <c r="G14" s="622"/>
      <c r="H14" s="622"/>
      <c r="I14" s="622"/>
      <c r="J14" s="622"/>
      <c r="K14" s="622"/>
      <c r="L14" s="622"/>
      <c r="M14" s="622"/>
      <c r="N14" s="622"/>
      <c r="O14" s="622"/>
      <c r="P14" s="622"/>
      <c r="Q14" s="622"/>
      <c r="R14" s="622"/>
      <c r="S14" s="622"/>
      <c r="T14" s="622"/>
      <c r="U14" s="622"/>
      <c r="V14" s="622"/>
      <c r="W14" s="622"/>
      <c r="X14" s="622"/>
      <c r="Y14" s="622"/>
      <c r="Z14" s="622"/>
      <c r="AA14" s="623"/>
    </row>
    <row r="15" spans="1:27">
      <c r="A15" s="624"/>
      <c r="B15" s="1063" t="s">
        <v>873</v>
      </c>
      <c r="C15" s="1063"/>
      <c r="D15" s="1063"/>
      <c r="E15" s="1063"/>
      <c r="F15" s="1063"/>
      <c r="G15" s="1063"/>
      <c r="H15" s="1063"/>
      <c r="I15" s="1063"/>
      <c r="J15" s="1063"/>
      <c r="K15" s="1063"/>
      <c r="L15" s="1063"/>
      <c r="M15" s="1063"/>
      <c r="N15" s="1063"/>
      <c r="O15" s="1063"/>
      <c r="P15" s="1063"/>
      <c r="Q15" s="1063"/>
      <c r="R15" s="1063"/>
      <c r="S15" s="1063"/>
      <c r="T15" s="1063"/>
      <c r="U15" s="1063"/>
      <c r="V15" s="1063"/>
      <c r="W15" s="1063"/>
      <c r="X15" s="1063"/>
      <c r="Y15" s="1063"/>
      <c r="Z15" s="1063"/>
      <c r="AA15" s="625"/>
    </row>
    <row r="16" spans="1:27">
      <c r="A16" s="624"/>
      <c r="B16" s="1058" t="s">
        <v>651</v>
      </c>
      <c r="C16" s="1058"/>
      <c r="D16" s="1058"/>
      <c r="E16" s="1059"/>
      <c r="F16" s="1059"/>
      <c r="G16" s="1058" t="s">
        <v>135</v>
      </c>
      <c r="H16" s="1058"/>
      <c r="I16" s="1062"/>
      <c r="J16" s="1062"/>
      <c r="K16" s="1058" t="s">
        <v>652</v>
      </c>
      <c r="L16" s="1058"/>
      <c r="M16" s="1058"/>
      <c r="N16" s="1058"/>
      <c r="O16" s="1058"/>
      <c r="P16" s="1058"/>
      <c r="Q16" s="1058"/>
      <c r="R16" s="1059"/>
      <c r="S16" s="1059"/>
      <c r="T16" s="1058" t="s">
        <v>659</v>
      </c>
      <c r="U16" s="1058"/>
      <c r="V16" s="1058"/>
      <c r="W16" s="1058"/>
      <c r="X16" s="1058"/>
      <c r="Y16" s="1059"/>
      <c r="Z16" s="1059"/>
      <c r="AA16" s="625"/>
    </row>
    <row r="17" spans="1:27">
      <c r="A17" s="624"/>
      <c r="B17" s="1058" t="s">
        <v>358</v>
      </c>
      <c r="C17" s="1058"/>
      <c r="D17" s="1058"/>
      <c r="E17" s="1110"/>
      <c r="F17" s="1110"/>
      <c r="G17" s="1058" t="s">
        <v>136</v>
      </c>
      <c r="H17" s="1058"/>
      <c r="I17" s="1059"/>
      <c r="J17" s="1059"/>
      <c r="K17" s="1058" t="s">
        <v>138</v>
      </c>
      <c r="L17" s="1058"/>
      <c r="M17" s="1058"/>
      <c r="N17" s="1058"/>
      <c r="O17" s="1058"/>
      <c r="P17" s="1058"/>
      <c r="Q17" s="1058"/>
      <c r="R17" s="1110"/>
      <c r="S17" s="1110"/>
      <c r="T17" s="1058" t="s">
        <v>634</v>
      </c>
      <c r="U17" s="1058"/>
      <c r="V17" s="1058"/>
      <c r="W17" s="1058"/>
      <c r="X17" s="1058"/>
      <c r="Y17" s="1110"/>
      <c r="Z17" s="1110"/>
      <c r="AA17" s="625"/>
    </row>
    <row r="18" spans="1:27">
      <c r="A18" s="624"/>
      <c r="B18" s="1058" t="s">
        <v>359</v>
      </c>
      <c r="C18" s="1058"/>
      <c r="D18" s="1058"/>
      <c r="E18" s="1110"/>
      <c r="F18" s="1110"/>
      <c r="G18" s="1058" t="s">
        <v>137</v>
      </c>
      <c r="H18" s="1058"/>
      <c r="I18" s="1058"/>
      <c r="J18" s="1058"/>
      <c r="K18" s="1059"/>
      <c r="L18" s="1059"/>
      <c r="M18" s="1058" t="s">
        <v>21</v>
      </c>
      <c r="N18" s="1058"/>
      <c r="O18" s="1058"/>
      <c r="P18" s="1058"/>
      <c r="Q18" s="1058"/>
      <c r="R18" s="1110"/>
      <c r="S18" s="1110"/>
      <c r="T18" s="1058" t="s">
        <v>139</v>
      </c>
      <c r="U18" s="1058"/>
      <c r="V18" s="1058"/>
      <c r="W18" s="1058"/>
      <c r="X18" s="1058"/>
      <c r="Y18" s="1110"/>
      <c r="Z18" s="1110"/>
      <c r="AA18" s="625"/>
    </row>
    <row r="19" spans="1:27">
      <c r="A19" s="624"/>
      <c r="B19" s="1058" t="s">
        <v>360</v>
      </c>
      <c r="C19" s="1058"/>
      <c r="D19" s="1058"/>
      <c r="E19" s="1058"/>
      <c r="F19" s="1058"/>
      <c r="G19" s="1058"/>
      <c r="H19" s="1058"/>
      <c r="I19" s="1059"/>
      <c r="J19" s="1059"/>
      <c r="K19" s="1058" t="s">
        <v>655</v>
      </c>
      <c r="L19" s="1058"/>
      <c r="M19" s="1058"/>
      <c r="N19" s="1058"/>
      <c r="O19" s="1058"/>
      <c r="P19" s="1058"/>
      <c r="Q19" s="1058"/>
      <c r="R19" s="1110"/>
      <c r="S19" s="1110"/>
      <c r="T19" s="4"/>
      <c r="U19" s="4"/>
      <c r="V19" s="4"/>
      <c r="W19" s="4"/>
      <c r="X19" s="4"/>
      <c r="Y19" s="4"/>
      <c r="Z19" s="4"/>
      <c r="AA19" s="625"/>
    </row>
    <row r="20" spans="1:27" ht="6.75" customHeight="1" thickBot="1">
      <c r="A20" s="626"/>
      <c r="B20" s="627"/>
      <c r="C20" s="627"/>
      <c r="D20" s="627"/>
      <c r="E20" s="627"/>
      <c r="F20" s="627"/>
      <c r="G20" s="627"/>
      <c r="H20" s="627"/>
      <c r="I20" s="627"/>
      <c r="J20" s="627"/>
      <c r="K20" s="627"/>
      <c r="L20" s="627"/>
      <c r="M20" s="627"/>
      <c r="N20" s="627"/>
      <c r="O20" s="627"/>
      <c r="P20" s="627"/>
      <c r="Q20" s="627"/>
      <c r="R20" s="627"/>
      <c r="S20" s="627"/>
      <c r="T20" s="627"/>
      <c r="U20" s="627"/>
      <c r="V20" s="627"/>
      <c r="W20" s="627"/>
      <c r="X20" s="627"/>
      <c r="Y20" s="627"/>
      <c r="Z20" s="627"/>
      <c r="AA20" s="628"/>
    </row>
    <row r="21" spans="1:27" s="632" customFormat="1" ht="6.75"/>
    <row r="22" spans="1:27">
      <c r="A22" s="1063" t="s">
        <v>140</v>
      </c>
      <c r="B22" s="1063"/>
      <c r="C22" s="1063"/>
      <c r="D22" s="1063"/>
      <c r="E22" s="1063"/>
      <c r="F22" s="1063"/>
      <c r="G22" s="1063"/>
      <c r="H22" s="1063"/>
      <c r="I22" s="1063"/>
      <c r="J22" s="1063"/>
      <c r="K22" s="1063"/>
      <c r="L22" s="1063"/>
      <c r="M22" s="1063"/>
      <c r="N22" s="1063"/>
      <c r="O22" s="1063"/>
      <c r="P22" s="1063"/>
      <c r="Q22" s="1063"/>
      <c r="R22" s="1063"/>
      <c r="S22" s="1065"/>
      <c r="T22" s="1065"/>
      <c r="U22" s="1065"/>
      <c r="V22" s="1065"/>
      <c r="W22" s="1065"/>
      <c r="X22" s="1065"/>
      <c r="Y22" s="1065"/>
      <c r="Z22" s="1065"/>
      <c r="AA22" s="1065"/>
    </row>
    <row r="23" spans="1:27">
      <c r="A23" s="1063" t="s">
        <v>141</v>
      </c>
      <c r="B23" s="1063"/>
      <c r="C23" s="1063"/>
      <c r="D23" s="1063"/>
      <c r="E23" s="1063"/>
      <c r="F23" s="1063"/>
      <c r="G23" s="1063"/>
      <c r="H23" s="1063"/>
      <c r="I23" s="1063"/>
      <c r="J23" s="1063"/>
      <c r="K23" s="1063"/>
      <c r="L23" s="1065"/>
      <c r="M23" s="1065"/>
      <c r="N23" s="1065"/>
      <c r="O23" s="1065"/>
      <c r="P23" s="1065"/>
      <c r="Q23" s="1065"/>
      <c r="R23" s="1065"/>
      <c r="S23" s="1065"/>
      <c r="T23" s="1065"/>
      <c r="U23" s="1065"/>
      <c r="V23" s="1065"/>
      <c r="W23" s="1065"/>
      <c r="X23" s="1065"/>
      <c r="Y23" s="1065"/>
      <c r="Z23" s="1065"/>
      <c r="AA23" s="1065"/>
    </row>
    <row r="24" spans="1:27" ht="15" customHeight="1">
      <c r="A24" s="1063" t="s">
        <v>142</v>
      </c>
      <c r="B24" s="1063"/>
      <c r="C24" s="1063"/>
      <c r="D24" s="1063"/>
      <c r="E24" s="1063"/>
      <c r="F24" s="1063"/>
      <c r="G24" s="1063"/>
      <c r="H24" s="1063"/>
      <c r="I24" s="1063"/>
      <c r="J24" s="1063"/>
      <c r="K24" s="1065"/>
      <c r="L24" s="1065"/>
      <c r="M24" s="1065"/>
      <c r="N24" s="1065"/>
      <c r="O24" s="1065"/>
      <c r="P24" s="1065"/>
      <c r="Q24" s="1065"/>
      <c r="R24" s="1065"/>
      <c r="S24" s="1065"/>
      <c r="T24" s="1065"/>
      <c r="U24" s="1065"/>
      <c r="V24" s="1065"/>
      <c r="W24" s="1065"/>
      <c r="X24" s="1065"/>
      <c r="Y24" s="1065"/>
      <c r="Z24" s="1065"/>
      <c r="AA24" s="1065"/>
    </row>
    <row r="25" spans="1:27" ht="15" customHeight="1">
      <c r="A25" s="1065"/>
      <c r="B25" s="1065"/>
      <c r="C25" s="1065"/>
      <c r="D25" s="1065"/>
      <c r="E25" s="1065"/>
      <c r="F25" s="1065"/>
      <c r="G25" s="1065"/>
      <c r="H25" s="1065"/>
      <c r="I25" s="1065"/>
      <c r="J25" s="1065"/>
      <c r="K25" s="1065"/>
      <c r="L25" s="1065"/>
      <c r="M25" s="1065"/>
      <c r="N25" s="1065"/>
      <c r="O25" s="1065"/>
      <c r="P25" s="1065"/>
      <c r="Q25" s="1065"/>
      <c r="R25" s="1065"/>
      <c r="S25" s="1065"/>
      <c r="T25" s="1065"/>
      <c r="U25" s="1065"/>
      <c r="V25" s="1065"/>
      <c r="W25" s="1065"/>
      <c r="X25" s="1065"/>
      <c r="Y25" s="1065"/>
      <c r="Z25" s="1065"/>
      <c r="AA25" s="1065"/>
    </row>
    <row r="26" spans="1:27" ht="15" customHeight="1">
      <c r="A26" s="1066"/>
      <c r="B26" s="1066"/>
      <c r="C26" s="1066"/>
      <c r="D26" s="1066"/>
      <c r="E26" s="1066"/>
      <c r="F26" s="1066"/>
      <c r="G26" s="1066"/>
      <c r="H26" s="1066"/>
      <c r="I26" s="1066"/>
      <c r="J26" s="1066"/>
      <c r="K26" s="1066"/>
      <c r="L26" s="1066"/>
      <c r="M26" s="1066"/>
      <c r="N26" s="1066"/>
      <c r="O26" s="1066"/>
      <c r="P26" s="1066"/>
      <c r="Q26" s="1066"/>
      <c r="R26" s="1066"/>
      <c r="S26" s="1066"/>
      <c r="T26" s="1066"/>
      <c r="U26" s="1066"/>
      <c r="V26" s="1066"/>
      <c r="W26" s="1066"/>
      <c r="X26" s="1066"/>
      <c r="Y26" s="1066"/>
      <c r="Z26" s="1066"/>
      <c r="AA26" s="1066"/>
    </row>
    <row r="27" spans="1:27" s="632" customFormat="1" ht="6.6" customHeight="1" thickBot="1">
      <c r="A27" s="631"/>
      <c r="B27" s="631"/>
      <c r="C27" s="631"/>
      <c r="D27" s="631"/>
      <c r="E27" s="631"/>
      <c r="F27" s="631"/>
      <c r="G27" s="631"/>
      <c r="H27" s="631"/>
      <c r="I27" s="631"/>
      <c r="J27" s="631"/>
      <c r="K27" s="631"/>
      <c r="L27" s="631"/>
      <c r="M27" s="631"/>
      <c r="N27" s="631"/>
      <c r="O27" s="631"/>
      <c r="P27" s="631"/>
      <c r="Q27" s="631"/>
      <c r="R27" s="631"/>
      <c r="S27" s="631"/>
      <c r="T27" s="631"/>
      <c r="U27" s="631"/>
      <c r="V27" s="631"/>
      <c r="W27" s="631"/>
      <c r="X27" s="631"/>
      <c r="Y27" s="631"/>
      <c r="Z27" s="631"/>
      <c r="AA27" s="631"/>
    </row>
    <row r="28" spans="1:27" ht="13.15" customHeight="1">
      <c r="A28" s="1104" t="s">
        <v>872</v>
      </c>
      <c r="B28" s="1105"/>
      <c r="C28" s="1105"/>
      <c r="D28" s="1105"/>
      <c r="E28" s="1105"/>
      <c r="F28" s="1105"/>
      <c r="G28" s="1105"/>
      <c r="H28" s="1105"/>
      <c r="I28" s="1105"/>
      <c r="J28" s="1105"/>
      <c r="K28" s="1105"/>
      <c r="L28" s="1105"/>
      <c r="M28" s="1106"/>
      <c r="N28" s="1092" t="s">
        <v>875</v>
      </c>
      <c r="O28" s="1093"/>
      <c r="P28" s="1093"/>
      <c r="Q28" s="1093"/>
      <c r="R28" s="1093"/>
      <c r="S28" s="1093"/>
      <c r="T28" s="1094"/>
      <c r="U28" s="1098" t="s">
        <v>871</v>
      </c>
      <c r="V28" s="1099"/>
      <c r="W28" s="1099"/>
      <c r="X28" s="1099"/>
      <c r="Y28" s="1099"/>
      <c r="Z28" s="1099"/>
      <c r="AA28" s="1100"/>
    </row>
    <row r="29" spans="1:27">
      <c r="A29" s="1107"/>
      <c r="B29" s="1108"/>
      <c r="C29" s="1108"/>
      <c r="D29" s="1108"/>
      <c r="E29" s="1108"/>
      <c r="F29" s="1108"/>
      <c r="G29" s="1108"/>
      <c r="H29" s="1108"/>
      <c r="I29" s="1108"/>
      <c r="J29" s="1108"/>
      <c r="K29" s="1108"/>
      <c r="L29" s="1108"/>
      <c r="M29" s="1109"/>
      <c r="N29" s="1095"/>
      <c r="O29" s="1096"/>
      <c r="P29" s="1096"/>
      <c r="Q29" s="1096"/>
      <c r="R29" s="1096"/>
      <c r="S29" s="1096"/>
      <c r="T29" s="1097"/>
      <c r="U29" s="1101"/>
      <c r="V29" s="1102"/>
      <c r="W29" s="1102"/>
      <c r="X29" s="1102"/>
      <c r="Y29" s="1102"/>
      <c r="Z29" s="1102"/>
      <c r="AA29" s="1103"/>
    </row>
    <row r="30" spans="1:27">
      <c r="A30" s="1107"/>
      <c r="B30" s="1108"/>
      <c r="C30" s="1108"/>
      <c r="D30" s="1108"/>
      <c r="E30" s="1108"/>
      <c r="F30" s="1108"/>
      <c r="G30" s="1108"/>
      <c r="H30" s="1108"/>
      <c r="I30" s="1108"/>
      <c r="J30" s="1108"/>
      <c r="K30" s="1108"/>
      <c r="L30" s="1108"/>
      <c r="M30" s="1109"/>
      <c r="N30" s="1095"/>
      <c r="O30" s="1096"/>
      <c r="P30" s="1096"/>
      <c r="Q30" s="1096"/>
      <c r="R30" s="1096"/>
      <c r="S30" s="1096"/>
      <c r="T30" s="1097"/>
      <c r="U30" s="1101"/>
      <c r="V30" s="1102"/>
      <c r="W30" s="1102"/>
      <c r="X30" s="1102"/>
      <c r="Y30" s="1102"/>
      <c r="Z30" s="1102"/>
      <c r="AA30" s="1103"/>
    </row>
    <row r="31" spans="1:27" ht="15" customHeight="1">
      <c r="A31" s="1090"/>
      <c r="B31" s="1066"/>
      <c r="C31" s="1066"/>
      <c r="D31" s="1066"/>
      <c r="E31" s="1066"/>
      <c r="F31" s="1066"/>
      <c r="G31" s="1066"/>
      <c r="H31" s="1066"/>
      <c r="I31" s="1066"/>
      <c r="J31" s="1066"/>
      <c r="K31" s="1066"/>
      <c r="L31" s="1066"/>
      <c r="M31" s="1091"/>
      <c r="N31" s="1090"/>
      <c r="O31" s="1066"/>
      <c r="P31" s="1066"/>
      <c r="Q31" s="1066"/>
      <c r="R31" s="1066"/>
      <c r="S31" s="1066"/>
      <c r="T31" s="1091"/>
      <c r="U31" s="1084"/>
      <c r="V31" s="1085"/>
      <c r="W31" s="1085"/>
      <c r="X31" s="1085"/>
      <c r="Y31" s="1085"/>
      <c r="Z31" s="1085"/>
      <c r="AA31" s="1086"/>
    </row>
    <row r="32" spans="1:27" ht="15" customHeight="1">
      <c r="A32" s="1090"/>
      <c r="B32" s="1066"/>
      <c r="C32" s="1066"/>
      <c r="D32" s="1066"/>
      <c r="E32" s="1066"/>
      <c r="F32" s="1066"/>
      <c r="G32" s="1066"/>
      <c r="H32" s="1066"/>
      <c r="I32" s="1066"/>
      <c r="J32" s="1066"/>
      <c r="K32" s="1066"/>
      <c r="L32" s="1066"/>
      <c r="M32" s="1091"/>
      <c r="N32" s="1090"/>
      <c r="O32" s="1066"/>
      <c r="P32" s="1066"/>
      <c r="Q32" s="1066"/>
      <c r="R32" s="1066"/>
      <c r="S32" s="1066"/>
      <c r="T32" s="1091"/>
      <c r="U32" s="1084"/>
      <c r="V32" s="1085"/>
      <c r="W32" s="1085"/>
      <c r="X32" s="1085"/>
      <c r="Y32" s="1085"/>
      <c r="Z32" s="1085"/>
      <c r="AA32" s="1086"/>
    </row>
    <row r="33" spans="1:29" ht="15" customHeight="1" thickBot="1">
      <c r="A33" s="1087"/>
      <c r="B33" s="1088"/>
      <c r="C33" s="1088"/>
      <c r="D33" s="1088"/>
      <c r="E33" s="1088"/>
      <c r="F33" s="1088"/>
      <c r="G33" s="1088"/>
      <c r="H33" s="1088"/>
      <c r="I33" s="1088"/>
      <c r="J33" s="1088"/>
      <c r="K33" s="1088"/>
      <c r="L33" s="1088"/>
      <c r="M33" s="1089"/>
      <c r="N33" s="1087"/>
      <c r="O33" s="1088"/>
      <c r="P33" s="1088"/>
      <c r="Q33" s="1088"/>
      <c r="R33" s="1088"/>
      <c r="S33" s="1088"/>
      <c r="T33" s="1089"/>
      <c r="U33" s="1067"/>
      <c r="V33" s="1068"/>
      <c r="W33" s="1068"/>
      <c r="X33" s="1068"/>
      <c r="Y33" s="1068"/>
      <c r="Z33" s="1068"/>
      <c r="AA33" s="1069"/>
    </row>
    <row r="34" spans="1:29" s="632" customFormat="1" ht="7.5" thickBot="1"/>
    <row r="35" spans="1:29" ht="13.15" customHeight="1">
      <c r="A35" s="1075" t="s">
        <v>876</v>
      </c>
      <c r="B35" s="1076"/>
      <c r="C35" s="1076"/>
      <c r="D35" s="1076"/>
      <c r="E35" s="1076"/>
      <c r="F35" s="1076"/>
      <c r="G35" s="1076"/>
      <c r="H35" s="1076"/>
      <c r="I35" s="1076"/>
      <c r="J35" s="1076"/>
      <c r="K35" s="1076"/>
      <c r="L35" s="1076"/>
      <c r="M35" s="1076"/>
      <c r="N35" s="1076"/>
      <c r="O35" s="1076"/>
      <c r="P35" s="1076"/>
      <c r="Q35" s="1076"/>
      <c r="R35" s="1076"/>
      <c r="S35" s="1076"/>
      <c r="T35" s="1077"/>
      <c r="U35" s="1075" t="s">
        <v>877</v>
      </c>
      <c r="V35" s="1076"/>
      <c r="W35" s="1076"/>
      <c r="X35" s="1076"/>
      <c r="Y35" s="1076"/>
      <c r="Z35" s="1076"/>
      <c r="AA35" s="1077"/>
    </row>
    <row r="36" spans="1:29">
      <c r="A36" s="1078"/>
      <c r="B36" s="1079"/>
      <c r="C36" s="1079"/>
      <c r="D36" s="1079"/>
      <c r="E36" s="1079"/>
      <c r="F36" s="1079"/>
      <c r="G36" s="1079"/>
      <c r="H36" s="1079"/>
      <c r="I36" s="1079"/>
      <c r="J36" s="1079"/>
      <c r="K36" s="1079"/>
      <c r="L36" s="1079"/>
      <c r="M36" s="1079"/>
      <c r="N36" s="1079"/>
      <c r="O36" s="1079"/>
      <c r="P36" s="1079"/>
      <c r="Q36" s="1079"/>
      <c r="R36" s="1079"/>
      <c r="S36" s="1079"/>
      <c r="T36" s="1080"/>
      <c r="U36" s="1081"/>
      <c r="V36" s="1082"/>
      <c r="W36" s="1082"/>
      <c r="X36" s="1082"/>
      <c r="Y36" s="1082"/>
      <c r="Z36" s="1082"/>
      <c r="AA36" s="1083"/>
    </row>
    <row r="37" spans="1:29" ht="15" customHeight="1">
      <c r="A37" s="1073"/>
      <c r="B37" s="1057"/>
      <c r="C37" s="1057"/>
      <c r="D37" s="1057"/>
      <c r="E37" s="1057"/>
      <c r="F37" s="1057"/>
      <c r="G37" s="1057"/>
      <c r="H37" s="1057"/>
      <c r="I37" s="1057"/>
      <c r="J37" s="1057"/>
      <c r="K37" s="1057"/>
      <c r="L37" s="1057"/>
      <c r="M37" s="1057"/>
      <c r="N37" s="1057"/>
      <c r="O37" s="1057"/>
      <c r="P37" s="1057"/>
      <c r="Q37" s="1057"/>
      <c r="R37" s="1057"/>
      <c r="S37" s="1057"/>
      <c r="T37" s="1074"/>
      <c r="U37" s="1084"/>
      <c r="V37" s="1085"/>
      <c r="W37" s="1085"/>
      <c r="X37" s="1085"/>
      <c r="Y37" s="1085"/>
      <c r="Z37" s="1085"/>
      <c r="AA37" s="1086"/>
    </row>
    <row r="38" spans="1:29" ht="15" customHeight="1">
      <c r="A38" s="1073"/>
      <c r="B38" s="1057"/>
      <c r="C38" s="1057"/>
      <c r="D38" s="1057"/>
      <c r="E38" s="1057"/>
      <c r="F38" s="1057"/>
      <c r="G38" s="1057"/>
      <c r="H38" s="1057"/>
      <c r="I38" s="1057"/>
      <c r="J38" s="1057"/>
      <c r="K38" s="1057"/>
      <c r="L38" s="1057"/>
      <c r="M38" s="1057"/>
      <c r="N38" s="1057"/>
      <c r="O38" s="1057"/>
      <c r="P38" s="1057"/>
      <c r="Q38" s="1057"/>
      <c r="R38" s="1057"/>
      <c r="S38" s="1057"/>
      <c r="T38" s="1074"/>
      <c r="U38" s="1084"/>
      <c r="V38" s="1085"/>
      <c r="W38" s="1085"/>
      <c r="X38" s="1085"/>
      <c r="Y38" s="1085"/>
      <c r="Z38" s="1085"/>
      <c r="AA38" s="1086"/>
    </row>
    <row r="39" spans="1:29" ht="15" customHeight="1" thickBot="1">
      <c r="A39" s="1070"/>
      <c r="B39" s="1071"/>
      <c r="C39" s="1071"/>
      <c r="D39" s="1071"/>
      <c r="E39" s="1071"/>
      <c r="F39" s="1071"/>
      <c r="G39" s="1071"/>
      <c r="H39" s="1071"/>
      <c r="I39" s="1071"/>
      <c r="J39" s="1071"/>
      <c r="K39" s="1071"/>
      <c r="L39" s="1071"/>
      <c r="M39" s="1071"/>
      <c r="N39" s="1071"/>
      <c r="O39" s="1071"/>
      <c r="P39" s="1071"/>
      <c r="Q39" s="1071"/>
      <c r="R39" s="1071"/>
      <c r="S39" s="1071"/>
      <c r="T39" s="1072"/>
      <c r="U39" s="1067"/>
      <c r="V39" s="1068"/>
      <c r="W39" s="1068"/>
      <c r="X39" s="1068"/>
      <c r="Y39" s="1068"/>
      <c r="Z39" s="1068"/>
      <c r="AA39" s="1069"/>
    </row>
    <row r="40" spans="1:29" s="632" customFormat="1" ht="6.75"/>
    <row r="41" spans="1:29" ht="15" customHeight="1">
      <c r="A41" s="1063" t="s">
        <v>143</v>
      </c>
      <c r="B41" s="1063"/>
      <c r="C41" s="1063"/>
      <c r="D41" s="1063"/>
      <c r="E41" s="1063"/>
      <c r="F41" s="1063"/>
      <c r="G41" s="1063"/>
      <c r="H41" s="1063"/>
      <c r="I41" s="1062"/>
      <c r="J41" s="1062"/>
      <c r="K41" s="1062"/>
      <c r="L41" s="1062"/>
      <c r="M41" s="279"/>
      <c r="N41" s="1060" t="s">
        <v>144</v>
      </c>
      <c r="O41" s="1060"/>
      <c r="P41" s="1060"/>
      <c r="Q41" s="1060"/>
      <c r="R41" s="1060"/>
      <c r="S41" s="1060"/>
      <c r="T41" s="1060"/>
      <c r="U41" s="1060"/>
      <c r="V41" s="1060"/>
      <c r="W41" s="1062"/>
      <c r="X41" s="1062"/>
      <c r="Y41" s="1062"/>
      <c r="Z41" s="1062"/>
      <c r="AA41" s="1062"/>
    </row>
    <row r="42" spans="1:29" ht="15" customHeight="1">
      <c r="A42" s="1060"/>
      <c r="B42" s="1060"/>
      <c r="C42" s="1060"/>
      <c r="D42" s="1060"/>
      <c r="E42" s="1060"/>
      <c r="F42" s="1060"/>
      <c r="G42" s="1060"/>
      <c r="H42" s="1060"/>
      <c r="I42" s="1060"/>
      <c r="J42" s="629"/>
      <c r="K42" s="629"/>
      <c r="L42" s="629"/>
      <c r="M42" s="629"/>
      <c r="N42" s="580"/>
      <c r="O42" s="580"/>
      <c r="P42" s="580"/>
      <c r="Q42" s="580"/>
      <c r="R42" s="580"/>
      <c r="S42" s="580"/>
      <c r="T42" s="580"/>
      <c r="U42" s="580"/>
      <c r="V42" s="580"/>
      <c r="W42" s="580"/>
      <c r="X42" s="580"/>
      <c r="Y42" s="580"/>
      <c r="Z42" s="580"/>
      <c r="AA42" s="580"/>
    </row>
    <row r="43" spans="1:29" ht="15" customHeight="1">
      <c r="A43" s="1064" t="s">
        <v>878</v>
      </c>
      <c r="B43" s="1064"/>
      <c r="C43" s="1064"/>
      <c r="D43" s="1064"/>
      <c r="E43" s="1064"/>
      <c r="F43" s="1064"/>
      <c r="G43" s="1064"/>
      <c r="H43" s="1064"/>
      <c r="I43" s="1064"/>
      <c r="J43" s="1064"/>
      <c r="K43" s="1064"/>
      <c r="L43" s="1064"/>
      <c r="M43" s="1064"/>
      <c r="N43" s="1064"/>
      <c r="O43" s="1064"/>
      <c r="P43" s="1064"/>
      <c r="Q43" s="1064"/>
      <c r="R43" s="1064"/>
      <c r="S43" s="1064"/>
      <c r="T43" s="1064"/>
      <c r="U43" s="1064"/>
      <c r="V43" s="1064"/>
      <c r="W43" s="1064"/>
      <c r="X43" s="1064"/>
      <c r="Y43" s="1064"/>
      <c r="Z43" s="1064"/>
      <c r="AA43" s="1064"/>
      <c r="AC43" s="580"/>
    </row>
    <row r="44" spans="1:29">
      <c r="A44" s="1064"/>
      <c r="B44" s="1064"/>
      <c r="C44" s="1064"/>
      <c r="D44" s="1064"/>
      <c r="E44" s="1064"/>
      <c r="F44" s="1064"/>
      <c r="G44" s="1064"/>
      <c r="H44" s="1064"/>
      <c r="I44" s="1064"/>
      <c r="J44" s="1064"/>
      <c r="K44" s="1064"/>
      <c r="L44" s="1064"/>
      <c r="M44" s="1064"/>
      <c r="N44" s="1064"/>
      <c r="O44" s="1064"/>
      <c r="P44" s="1064"/>
      <c r="Q44" s="1064"/>
      <c r="R44" s="1064"/>
      <c r="S44" s="1064"/>
      <c r="T44" s="1064"/>
      <c r="U44" s="1064"/>
      <c r="V44" s="1064"/>
      <c r="W44" s="1064"/>
      <c r="X44" s="1064"/>
      <c r="Y44" s="1064"/>
      <c r="Z44" s="1064"/>
      <c r="AA44" s="1064"/>
    </row>
    <row r="45" spans="1:29">
      <c r="A45" s="1065"/>
      <c r="B45" s="1065"/>
      <c r="C45" s="1065"/>
      <c r="D45" s="1065"/>
      <c r="E45" s="1065"/>
      <c r="F45" s="1065"/>
      <c r="G45" s="1065"/>
      <c r="H45" s="1065"/>
      <c r="I45" s="1065"/>
      <c r="J45" s="1065"/>
      <c r="K45" s="1065"/>
      <c r="L45" s="1065"/>
      <c r="M45" s="1065"/>
      <c r="N45" s="1065"/>
      <c r="O45" s="1065"/>
      <c r="P45" s="1065"/>
      <c r="Q45" s="1065"/>
      <c r="R45" s="1065"/>
      <c r="S45" s="1065"/>
      <c r="T45" s="1065"/>
      <c r="U45" s="1065"/>
      <c r="V45" s="1065"/>
      <c r="W45" s="1065"/>
      <c r="X45" s="1065"/>
      <c r="Y45" s="1065"/>
      <c r="Z45" s="1065"/>
      <c r="AA45" s="1065"/>
    </row>
    <row r="46" spans="1:29" ht="15" customHeight="1">
      <c r="A46" s="1066"/>
      <c r="B46" s="1066"/>
      <c r="C46" s="1066"/>
      <c r="D46" s="1066"/>
      <c r="E46" s="1066"/>
      <c r="F46" s="1066"/>
      <c r="G46" s="1066"/>
      <c r="H46" s="1066"/>
      <c r="I46" s="1066"/>
      <c r="J46" s="1066"/>
      <c r="K46" s="1066"/>
      <c r="L46" s="1066"/>
      <c r="M46" s="1066"/>
      <c r="N46" s="1066"/>
      <c r="O46" s="1066"/>
      <c r="P46" s="1066"/>
      <c r="Q46" s="1066"/>
      <c r="R46" s="1066"/>
      <c r="S46" s="1066"/>
      <c r="T46" s="1066"/>
      <c r="U46" s="1066"/>
      <c r="V46" s="1066"/>
      <c r="W46" s="1066"/>
      <c r="X46" s="1066"/>
      <c r="Y46" s="1066"/>
      <c r="Z46" s="1066"/>
      <c r="AA46" s="1066"/>
    </row>
    <row r="47" spans="1:29" s="632" customFormat="1" ht="6.75">
      <c r="A47" s="631"/>
      <c r="B47" s="631"/>
      <c r="C47" s="631"/>
      <c r="D47" s="631"/>
      <c r="E47" s="631"/>
      <c r="F47" s="631"/>
      <c r="G47" s="631"/>
      <c r="H47" s="631"/>
      <c r="I47" s="631"/>
      <c r="J47" s="631"/>
      <c r="K47" s="631"/>
      <c r="L47" s="631"/>
      <c r="M47" s="631"/>
      <c r="N47" s="631"/>
      <c r="O47" s="631"/>
      <c r="P47" s="631"/>
      <c r="Q47" s="631"/>
      <c r="R47" s="631"/>
      <c r="S47" s="631"/>
      <c r="T47" s="631"/>
      <c r="U47" s="631"/>
      <c r="V47" s="631"/>
      <c r="W47" s="631"/>
      <c r="X47" s="631"/>
      <c r="Y47" s="631"/>
      <c r="Z47" s="631"/>
      <c r="AA47" s="631"/>
    </row>
    <row r="48" spans="1:29" ht="15.75" customHeight="1">
      <c r="A48" s="938" t="s">
        <v>874</v>
      </c>
      <c r="B48" s="938"/>
      <c r="C48" s="938"/>
      <c r="D48" s="938"/>
      <c r="E48" s="938"/>
      <c r="F48" s="938"/>
      <c r="G48" s="938"/>
      <c r="H48" s="938"/>
      <c r="I48" s="1061"/>
      <c r="J48" s="1061"/>
      <c r="K48" s="1061"/>
      <c r="L48" s="1061"/>
      <c r="M48" s="1061"/>
      <c r="N48" s="1061"/>
      <c r="O48" s="1061"/>
      <c r="P48" s="1061"/>
      <c r="Q48" s="1061"/>
      <c r="R48" s="580"/>
      <c r="S48" s="1058" t="s">
        <v>564</v>
      </c>
      <c r="T48" s="1058"/>
      <c r="U48" s="1062"/>
      <c r="V48" s="1062"/>
      <c r="W48" s="1062"/>
      <c r="X48" s="1062"/>
      <c r="Y48" s="1062"/>
      <c r="Z48" s="1062"/>
      <c r="AA48" s="1062"/>
    </row>
    <row r="49" spans="1:27" ht="15.75" customHeight="1">
      <c r="A49" s="902" t="s">
        <v>879</v>
      </c>
      <c r="B49" s="902"/>
      <c r="C49" s="902"/>
      <c r="D49" s="1059"/>
      <c r="E49" s="1059"/>
      <c r="F49" s="1059"/>
      <c r="G49" s="1059"/>
      <c r="H49" s="1059"/>
      <c r="I49" s="1059"/>
      <c r="J49" s="1059"/>
      <c r="K49" s="1059"/>
      <c r="L49" s="1059"/>
      <c r="M49" s="1059"/>
      <c r="N49" s="1059"/>
      <c r="O49" s="1059"/>
      <c r="P49" s="1059"/>
      <c r="Q49" s="1059"/>
      <c r="R49" s="580"/>
      <c r="S49" s="1058" t="s">
        <v>414</v>
      </c>
      <c r="T49" s="1058"/>
      <c r="U49" s="1057"/>
      <c r="V49" s="1057"/>
      <c r="W49" s="1057"/>
      <c r="X49" s="1057"/>
      <c r="Y49" s="1057"/>
      <c r="Z49" s="1057"/>
      <c r="AA49" s="1057"/>
    </row>
    <row r="50" spans="1:27" ht="15.75" customHeight="1">
      <c r="A50" s="902" t="s">
        <v>880</v>
      </c>
      <c r="B50" s="902"/>
      <c r="C50" s="902"/>
      <c r="D50" s="902"/>
      <c r="E50" s="902"/>
      <c r="F50" s="902"/>
      <c r="G50" s="902"/>
      <c r="H50" s="902"/>
      <c r="I50" s="902"/>
      <c r="J50" s="902"/>
      <c r="K50" s="902"/>
      <c r="L50" s="902"/>
      <c r="M50" s="902"/>
      <c r="N50" s="902"/>
      <c r="O50" s="902"/>
      <c r="P50" s="902"/>
      <c r="Q50" s="902"/>
      <c r="R50" s="902"/>
      <c r="S50" s="902"/>
      <c r="T50" s="902"/>
      <c r="U50" s="902"/>
      <c r="V50" s="902"/>
      <c r="W50" s="902"/>
      <c r="X50" s="902"/>
      <c r="Y50" s="902"/>
      <c r="Z50" s="902"/>
      <c r="AA50" s="902"/>
    </row>
    <row r="51" spans="1:27" ht="15.75" customHeight="1">
      <c r="A51" s="938" t="s">
        <v>882</v>
      </c>
      <c r="B51" s="938"/>
      <c r="C51" s="938"/>
      <c r="D51" s="938"/>
      <c r="E51" s="630"/>
      <c r="F51" s="630"/>
      <c r="G51" s="630"/>
      <c r="H51" s="630"/>
      <c r="I51" s="630"/>
      <c r="J51" s="630"/>
      <c r="K51" s="630"/>
      <c r="L51" s="630"/>
      <c r="M51" s="630"/>
      <c r="N51" s="630"/>
      <c r="O51" s="630"/>
      <c r="P51" s="630"/>
      <c r="Q51" s="630"/>
      <c r="R51" s="630"/>
      <c r="S51" s="580"/>
      <c r="T51" s="1060" t="s">
        <v>883</v>
      </c>
      <c r="U51" s="1060"/>
      <c r="V51" s="619"/>
      <c r="W51" s="619"/>
      <c r="X51" s="619"/>
      <c r="Y51" s="619"/>
      <c r="Z51" s="619"/>
      <c r="AA51" s="580"/>
    </row>
    <row r="52" spans="1:27">
      <c r="A52" s="4"/>
      <c r="B52" s="902" t="s">
        <v>879</v>
      </c>
      <c r="C52" s="902"/>
      <c r="D52" s="902"/>
      <c r="E52" s="1"/>
      <c r="F52" s="1"/>
      <c r="G52" s="1"/>
      <c r="H52" s="1"/>
      <c r="I52" s="1"/>
      <c r="J52" s="1"/>
      <c r="K52" s="1"/>
      <c r="L52" s="1"/>
      <c r="M52" s="1"/>
      <c r="N52" s="1"/>
      <c r="O52" s="1"/>
      <c r="P52" s="1"/>
      <c r="Q52" s="1"/>
      <c r="R52" s="1"/>
    </row>
    <row r="53" spans="1:27" ht="15.75" customHeight="1">
      <c r="A53" s="938" t="s">
        <v>881</v>
      </c>
      <c r="B53" s="938"/>
      <c r="C53" s="938"/>
      <c r="D53" s="938"/>
      <c r="E53" s="630"/>
      <c r="F53" s="630"/>
      <c r="G53" s="630"/>
      <c r="H53" s="630"/>
      <c r="I53" s="630"/>
      <c r="J53" s="630"/>
      <c r="K53" s="630"/>
      <c r="L53" s="630"/>
      <c r="M53" s="630"/>
      <c r="N53" s="630"/>
      <c r="O53" s="630"/>
      <c r="P53" s="1"/>
      <c r="Q53" s="630"/>
      <c r="R53" s="630"/>
      <c r="S53" s="580"/>
      <c r="T53" s="1060" t="s">
        <v>883</v>
      </c>
      <c r="U53" s="1060"/>
      <c r="V53" s="619"/>
      <c r="W53" s="619"/>
      <c r="X53" s="619"/>
      <c r="Y53" s="619"/>
      <c r="Z53" s="619"/>
      <c r="AA53" s="580"/>
    </row>
    <row r="54" spans="1:27" ht="15.75" customHeight="1">
      <c r="A54" s="4"/>
      <c r="B54" s="902" t="s">
        <v>879</v>
      </c>
      <c r="C54" s="902"/>
      <c r="D54" s="902"/>
      <c r="E54" s="630"/>
      <c r="F54" s="630"/>
      <c r="G54" s="630"/>
      <c r="H54" s="619"/>
      <c r="I54" s="619"/>
      <c r="J54" s="619"/>
      <c r="K54" s="619"/>
      <c r="L54" s="619"/>
      <c r="M54" s="619"/>
      <c r="N54" s="619"/>
      <c r="O54" s="619"/>
      <c r="P54" s="619"/>
      <c r="Q54" s="619"/>
      <c r="R54" s="619"/>
      <c r="S54" s="580"/>
      <c r="T54" s="580"/>
      <c r="U54" s="580"/>
      <c r="V54" s="580"/>
      <c r="W54" s="580"/>
      <c r="X54" s="580"/>
      <c r="Y54" s="580"/>
      <c r="Z54" s="580"/>
      <c r="AA54" s="580"/>
    </row>
    <row r="55" spans="1:27">
      <c r="M55" s="6"/>
      <c r="N55" s="6"/>
      <c r="O55" s="1058" t="s">
        <v>203</v>
      </c>
      <c r="P55" s="1058"/>
      <c r="Q55" s="1058"/>
      <c r="R55" s="1058"/>
      <c r="S55" s="1058"/>
      <c r="T55" s="1058"/>
      <c r="U55" s="1058"/>
      <c r="V55" s="1059"/>
      <c r="W55" s="1059"/>
      <c r="X55" s="1059"/>
      <c r="Y55" s="1059"/>
      <c r="Z55" s="1059"/>
      <c r="AA55" s="580"/>
    </row>
  </sheetData>
  <mergeCells count="92">
    <mergeCell ref="W7:AA7"/>
    <mergeCell ref="A8:G8"/>
    <mergeCell ref="H8:AA8"/>
    <mergeCell ref="B19:H19"/>
    <mergeCell ref="B18:D18"/>
    <mergeCell ref="R18:S18"/>
    <mergeCell ref="T18:X18"/>
    <mergeCell ref="T17:X17"/>
    <mergeCell ref="K17:Q17"/>
    <mergeCell ref="G17:H17"/>
    <mergeCell ref="G18:J18"/>
    <mergeCell ref="M18:Q18"/>
    <mergeCell ref="E17:F17"/>
    <mergeCell ref="E18:F18"/>
    <mergeCell ref="K18:L18"/>
    <mergeCell ref="A3:AA3"/>
    <mergeCell ref="E16:F16"/>
    <mergeCell ref="I16:J16"/>
    <mergeCell ref="R16:S16"/>
    <mergeCell ref="Y16:Z16"/>
    <mergeCell ref="A6:E6"/>
    <mergeCell ref="Q6:AA6"/>
    <mergeCell ref="R5:AA5"/>
    <mergeCell ref="F6:L6"/>
    <mergeCell ref="F5:L5"/>
    <mergeCell ref="A5:E5"/>
    <mergeCell ref="B15:Z15"/>
    <mergeCell ref="T16:X16"/>
    <mergeCell ref="B16:D16"/>
    <mergeCell ref="K16:Q16"/>
    <mergeCell ref="G16:H16"/>
    <mergeCell ref="A23:K23"/>
    <mergeCell ref="L23:AA23"/>
    <mergeCell ref="Y18:Z18"/>
    <mergeCell ref="R17:S17"/>
    <mergeCell ref="I17:J17"/>
    <mergeCell ref="Y17:Z17"/>
    <mergeCell ref="I19:J19"/>
    <mergeCell ref="R19:S19"/>
    <mergeCell ref="B17:D17"/>
    <mergeCell ref="K19:Q19"/>
    <mergeCell ref="A22:R22"/>
    <mergeCell ref="S22:AA22"/>
    <mergeCell ref="N28:T30"/>
    <mergeCell ref="U28:AA30"/>
    <mergeCell ref="A28:M30"/>
    <mergeCell ref="A24:J24"/>
    <mergeCell ref="K24:AA24"/>
    <mergeCell ref="A26:AA26"/>
    <mergeCell ref="A25:AA25"/>
    <mergeCell ref="A33:M33"/>
    <mergeCell ref="A32:M32"/>
    <mergeCell ref="A31:M31"/>
    <mergeCell ref="U33:AA33"/>
    <mergeCell ref="U32:AA32"/>
    <mergeCell ref="U31:AA31"/>
    <mergeCell ref="N33:T33"/>
    <mergeCell ref="N32:T32"/>
    <mergeCell ref="N31:T31"/>
    <mergeCell ref="U39:AA39"/>
    <mergeCell ref="A39:T39"/>
    <mergeCell ref="A38:T38"/>
    <mergeCell ref="A37:T37"/>
    <mergeCell ref="A35:T36"/>
    <mergeCell ref="U35:AA36"/>
    <mergeCell ref="U37:AA37"/>
    <mergeCell ref="U38:AA38"/>
    <mergeCell ref="A48:H48"/>
    <mergeCell ref="I48:Q48"/>
    <mergeCell ref="U48:AA48"/>
    <mergeCell ref="A41:H41"/>
    <mergeCell ref="I41:L41"/>
    <mergeCell ref="A42:I42"/>
    <mergeCell ref="S48:T48"/>
    <mergeCell ref="A43:AA44"/>
    <mergeCell ref="A45:AA45"/>
    <mergeCell ref="A46:AA46"/>
    <mergeCell ref="W41:AA41"/>
    <mergeCell ref="N41:V41"/>
    <mergeCell ref="U49:AA49"/>
    <mergeCell ref="B54:D54"/>
    <mergeCell ref="O55:U55"/>
    <mergeCell ref="V55:Z55"/>
    <mergeCell ref="T51:U51"/>
    <mergeCell ref="T53:U53"/>
    <mergeCell ref="A51:D51"/>
    <mergeCell ref="A53:D53"/>
    <mergeCell ref="B52:D52"/>
    <mergeCell ref="A50:AA50"/>
    <mergeCell ref="A49:C49"/>
    <mergeCell ref="D49:Q49"/>
    <mergeCell ref="S49:T49"/>
  </mergeCells>
  <phoneticPr fontId="27" type="noConversion"/>
  <pageMargins left="0.75" right="0.75" top="1" bottom="0.87656250000000002" header="0.25" footer="0.48489583333333336"/>
  <pageSetup scale="95" orientation="portrait" horizontalDpi="300" verticalDpi="1200" r:id="rId1"/>
  <headerFooter>
    <oddHeader>&amp;L&amp;G&amp;C&amp;"Arial,Bold"&amp;14BULK MATERIALS</oddHeader>
    <oddFooter>&amp;C
&amp;F</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pageSetUpPr fitToPage="1"/>
  </sheetPr>
  <dimension ref="A1:T68"/>
  <sheetViews>
    <sheetView showGridLines="0" showRowColHeaders="0" view="pageLayout" zoomScaleNormal="100" workbookViewId="0">
      <selection sqref="A1:S1"/>
    </sheetView>
  </sheetViews>
  <sheetFormatPr defaultColWidth="0" defaultRowHeight="12.75"/>
  <cols>
    <col min="1" max="1" width="1.5703125" style="291" customWidth="1"/>
    <col min="2" max="17" width="5.5703125" style="291" customWidth="1"/>
    <col min="18" max="18" width="11.5703125" style="291" customWidth="1"/>
    <col min="19" max="19" width="4.7109375" style="291" customWidth="1"/>
    <col min="20" max="20" width="0.7109375" style="291" customWidth="1"/>
    <col min="21" max="16384" width="9.140625" style="291" hidden="1"/>
  </cols>
  <sheetData>
    <row r="1" spans="1:19">
      <c r="A1" s="675" t="s">
        <v>885</v>
      </c>
      <c r="B1" s="675"/>
      <c r="C1" s="675"/>
      <c r="D1" s="675"/>
      <c r="E1" s="675"/>
      <c r="F1" s="675"/>
      <c r="G1" s="675"/>
      <c r="H1" s="675"/>
      <c r="I1" s="675"/>
      <c r="J1" s="675"/>
      <c r="K1" s="675"/>
      <c r="L1" s="675"/>
      <c r="M1" s="675"/>
      <c r="N1" s="675"/>
      <c r="O1" s="675"/>
      <c r="P1" s="675"/>
      <c r="Q1" s="675"/>
      <c r="R1" s="675"/>
      <c r="S1" s="675"/>
    </row>
    <row r="2" spans="1:19" ht="21.6" customHeight="1">
      <c r="A2" s="314"/>
      <c r="B2" s="311"/>
      <c r="C2" s="311"/>
      <c r="D2" s="311"/>
      <c r="E2" s="311"/>
      <c r="F2" s="311"/>
      <c r="G2" s="311"/>
      <c r="H2" s="311"/>
      <c r="I2" s="311"/>
      <c r="J2" s="311"/>
      <c r="K2" s="311"/>
      <c r="L2" s="311"/>
      <c r="M2" s="311"/>
      <c r="N2" s="311"/>
      <c r="O2" s="311"/>
      <c r="P2" s="311"/>
      <c r="Q2" s="311"/>
      <c r="R2" s="311"/>
      <c r="S2" s="313"/>
    </row>
    <row r="3" spans="1:19">
      <c r="A3" s="300"/>
      <c r="B3" s="299" t="s">
        <v>309</v>
      </c>
      <c r="D3" s="662">
        <f>'Header Info'!C6</f>
        <v>0</v>
      </c>
      <c r="E3" s="662"/>
      <c r="F3" s="662"/>
      <c r="G3" s="662"/>
      <c r="H3" s="662"/>
      <c r="I3" s="662"/>
      <c r="J3" s="663" t="s">
        <v>310</v>
      </c>
      <c r="K3" s="663"/>
      <c r="L3" s="663"/>
      <c r="M3" s="662">
        <f>'Header Info'!C7</f>
        <v>0</v>
      </c>
      <c r="N3" s="662"/>
      <c r="O3" s="662"/>
      <c r="P3" s="312" t="s">
        <v>147</v>
      </c>
      <c r="Q3" s="662">
        <f>'Header Info'!C8</f>
        <v>0</v>
      </c>
      <c r="R3" s="662"/>
      <c r="S3" s="297"/>
    </row>
    <row r="4" spans="1:19">
      <c r="A4" s="300"/>
      <c r="G4" s="311"/>
      <c r="H4" s="310"/>
      <c r="I4" s="310"/>
      <c r="Q4" s="299" t="s">
        <v>154</v>
      </c>
      <c r="S4" s="297"/>
    </row>
    <row r="5" spans="1:19">
      <c r="A5" s="300"/>
      <c r="B5" s="299" t="s">
        <v>148</v>
      </c>
      <c r="D5" s="662"/>
      <c r="E5" s="662"/>
      <c r="F5" s="662"/>
      <c r="G5" s="663" t="s">
        <v>259</v>
      </c>
      <c r="H5" s="663"/>
      <c r="I5" s="663"/>
      <c r="J5" s="663"/>
      <c r="K5" s="663"/>
      <c r="L5" s="662">
        <f>'Header Info'!C8</f>
        <v>0</v>
      </c>
      <c r="M5" s="662"/>
      <c r="N5" s="662"/>
      <c r="O5" s="662"/>
      <c r="P5" s="301" t="s">
        <v>205</v>
      </c>
      <c r="Q5" s="664">
        <f>'Header Info'!C9</f>
        <v>0</v>
      </c>
      <c r="R5" s="662"/>
      <c r="S5" s="297"/>
    </row>
    <row r="6" spans="1:19" ht="6" customHeight="1">
      <c r="A6" s="300"/>
      <c r="S6" s="297"/>
    </row>
    <row r="7" spans="1:19">
      <c r="A7" s="300"/>
      <c r="B7" s="299" t="s">
        <v>206</v>
      </c>
      <c r="G7" s="674"/>
      <c r="H7" s="674"/>
      <c r="I7" s="674"/>
      <c r="J7" s="674"/>
      <c r="K7" s="674"/>
      <c r="L7" s="674"/>
      <c r="M7" s="674"/>
      <c r="N7" s="674"/>
      <c r="O7" s="674"/>
      <c r="P7" s="301" t="s">
        <v>205</v>
      </c>
      <c r="Q7" s="672"/>
      <c r="R7" s="672"/>
      <c r="S7" s="297"/>
    </row>
    <row r="8" spans="1:19" ht="6.95" customHeight="1">
      <c r="A8" s="300"/>
      <c r="S8" s="297"/>
    </row>
    <row r="9" spans="1:19">
      <c r="A9" s="300"/>
      <c r="B9" s="299" t="s">
        <v>207</v>
      </c>
      <c r="F9" s="674"/>
      <c r="G9" s="674"/>
      <c r="H9" s="674"/>
      <c r="I9" s="674"/>
      <c r="J9" s="663" t="s">
        <v>208</v>
      </c>
      <c r="K9" s="663"/>
      <c r="L9" s="663"/>
      <c r="M9" s="674"/>
      <c r="N9" s="674"/>
      <c r="O9" s="309" t="s">
        <v>209</v>
      </c>
      <c r="P9" s="309"/>
      <c r="Q9" s="673"/>
      <c r="R9" s="673"/>
      <c r="S9" s="297"/>
    </row>
    <row r="10" spans="1:19" ht="6.95" customHeight="1">
      <c r="A10" s="300"/>
      <c r="S10" s="297"/>
    </row>
    <row r="11" spans="1:19">
      <c r="A11" s="300"/>
      <c r="B11" s="299" t="s">
        <v>210</v>
      </c>
      <c r="E11" s="674"/>
      <c r="F11" s="674"/>
      <c r="G11" s="674"/>
      <c r="H11" s="663" t="s">
        <v>311</v>
      </c>
      <c r="I11" s="663"/>
      <c r="J11" s="663"/>
      <c r="K11" s="663"/>
      <c r="L11" s="674"/>
      <c r="M11" s="674"/>
      <c r="N11" s="674"/>
      <c r="O11" s="674"/>
      <c r="P11" s="301" t="s">
        <v>205</v>
      </c>
      <c r="Q11" s="672"/>
      <c r="R11" s="672"/>
      <c r="S11" s="297"/>
    </row>
    <row r="12" spans="1:19" ht="7.5" customHeight="1">
      <c r="A12" s="300"/>
      <c r="S12" s="297"/>
    </row>
    <row r="13" spans="1:19">
      <c r="A13" s="300"/>
      <c r="B13" s="305" t="s">
        <v>954</v>
      </c>
      <c r="J13" s="305" t="s">
        <v>230</v>
      </c>
      <c r="S13" s="297"/>
    </row>
    <row r="14" spans="1:19" ht="6" customHeight="1">
      <c r="A14" s="300"/>
      <c r="S14" s="297"/>
    </row>
    <row r="15" spans="1:19">
      <c r="A15" s="300"/>
      <c r="B15" s="661">
        <f>'Header Info'!C11</f>
        <v>0</v>
      </c>
      <c r="C15" s="661"/>
      <c r="D15" s="661"/>
      <c r="E15" s="661"/>
      <c r="F15" s="661"/>
      <c r="G15" s="661"/>
      <c r="H15" s="306">
        <f>'Header Info'!C12</f>
        <v>0</v>
      </c>
      <c r="J15" s="661">
        <f>'Header Info'!C16</f>
        <v>0</v>
      </c>
      <c r="K15" s="661"/>
      <c r="L15" s="661"/>
      <c r="M15" s="661"/>
      <c r="N15" s="661"/>
      <c r="O15" s="661"/>
      <c r="P15" s="661"/>
      <c r="Q15" s="661"/>
      <c r="R15" s="306"/>
      <c r="S15" s="297"/>
    </row>
    <row r="16" spans="1:19" ht="10.5" customHeight="1">
      <c r="A16" s="300"/>
      <c r="B16" s="299" t="s">
        <v>955</v>
      </c>
      <c r="G16" s="299" t="s">
        <v>326</v>
      </c>
      <c r="J16" s="307" t="s">
        <v>944</v>
      </c>
      <c r="R16" s="307" t="s">
        <v>811</v>
      </c>
      <c r="S16" s="297"/>
    </row>
    <row r="17" spans="1:19" ht="6.75" customHeight="1">
      <c r="A17" s="300"/>
      <c r="S17" s="297"/>
    </row>
    <row r="18" spans="1:19">
      <c r="A18" s="300"/>
      <c r="B18" s="661">
        <f>'Header Info'!C13</f>
        <v>0</v>
      </c>
      <c r="C18" s="661"/>
      <c r="D18" s="661"/>
      <c r="E18" s="661"/>
      <c r="F18" s="661"/>
      <c r="G18" s="661"/>
      <c r="H18" s="661"/>
      <c r="J18" s="661">
        <f>'Header Info'!C18</f>
        <v>0</v>
      </c>
      <c r="K18" s="661"/>
      <c r="L18" s="661"/>
      <c r="M18" s="661"/>
      <c r="N18" s="661"/>
      <c r="O18" s="661"/>
      <c r="P18" s="661"/>
      <c r="Q18" s="661"/>
      <c r="R18" s="661"/>
      <c r="S18" s="297"/>
    </row>
    <row r="19" spans="1:19" ht="10.5" customHeight="1">
      <c r="A19" s="300"/>
      <c r="B19" s="299" t="s">
        <v>318</v>
      </c>
      <c r="J19" s="299" t="s">
        <v>957</v>
      </c>
      <c r="S19" s="297"/>
    </row>
    <row r="20" spans="1:19" ht="6" customHeight="1">
      <c r="A20" s="300"/>
      <c r="R20" s="303"/>
      <c r="S20" s="297"/>
    </row>
    <row r="21" spans="1:19">
      <c r="A21" s="300"/>
      <c r="B21" s="661">
        <f>'Header Info'!C14</f>
        <v>0</v>
      </c>
      <c r="C21" s="661"/>
      <c r="D21" s="661"/>
      <c r="E21" s="661"/>
      <c r="F21" s="661"/>
      <c r="G21" s="661"/>
      <c r="H21" s="661"/>
      <c r="J21" s="661">
        <f>'Header Info'!C19</f>
        <v>0</v>
      </c>
      <c r="K21" s="661"/>
      <c r="L21" s="661"/>
      <c r="M21" s="661"/>
      <c r="N21" s="661"/>
      <c r="O21" s="661"/>
      <c r="P21" s="661"/>
      <c r="Q21" s="661"/>
      <c r="R21" s="661"/>
      <c r="S21" s="297"/>
    </row>
    <row r="22" spans="1:19">
      <c r="A22" s="300"/>
      <c r="B22" s="299" t="s">
        <v>961</v>
      </c>
      <c r="F22" s="299"/>
      <c r="H22" s="301"/>
      <c r="J22" s="299" t="s">
        <v>320</v>
      </c>
      <c r="S22" s="297"/>
    </row>
    <row r="23" spans="1:19" ht="6" customHeight="1">
      <c r="A23" s="300"/>
      <c r="S23" s="297"/>
    </row>
    <row r="24" spans="1:19">
      <c r="A24" s="300"/>
      <c r="B24" s="305" t="s">
        <v>260</v>
      </c>
      <c r="C24" s="305"/>
      <c r="D24" s="305" t="s">
        <v>261</v>
      </c>
      <c r="S24" s="297"/>
    </row>
    <row r="25" spans="1:19">
      <c r="A25" s="300"/>
      <c r="B25" s="305"/>
      <c r="C25" s="305"/>
      <c r="D25" s="305"/>
      <c r="S25" s="297"/>
    </row>
    <row r="26" spans="1:19">
      <c r="A26" s="300"/>
      <c r="B26" s="305"/>
      <c r="C26" s="305"/>
      <c r="D26" s="305" t="s">
        <v>262</v>
      </c>
      <c r="S26" s="297"/>
    </row>
    <row r="27" spans="1:19">
      <c r="A27" s="300"/>
      <c r="S27" s="297"/>
    </row>
    <row r="28" spans="1:19">
      <c r="A28" s="300"/>
      <c r="B28" s="305" t="s">
        <v>231</v>
      </c>
      <c r="S28" s="297"/>
    </row>
    <row r="29" spans="1:19">
      <c r="A29" s="300"/>
      <c r="C29" s="299" t="s">
        <v>232</v>
      </c>
      <c r="L29" s="299" t="s">
        <v>233</v>
      </c>
      <c r="S29" s="297"/>
    </row>
    <row r="30" spans="1:19">
      <c r="A30" s="300"/>
      <c r="C30" s="299" t="s">
        <v>234</v>
      </c>
      <c r="L30" s="299" t="s">
        <v>235</v>
      </c>
      <c r="S30" s="297"/>
    </row>
    <row r="31" spans="1:19">
      <c r="A31" s="300"/>
      <c r="C31" s="299" t="s">
        <v>150</v>
      </c>
      <c r="L31" s="299" t="s">
        <v>236</v>
      </c>
      <c r="S31" s="297"/>
    </row>
    <row r="32" spans="1:19">
      <c r="A32" s="300"/>
      <c r="C32" s="299" t="s">
        <v>244</v>
      </c>
      <c r="L32" s="299" t="s">
        <v>245</v>
      </c>
      <c r="S32" s="297"/>
    </row>
    <row r="33" spans="1:19">
      <c r="A33" s="300"/>
      <c r="C33" s="299" t="s">
        <v>263</v>
      </c>
      <c r="L33" s="299" t="s">
        <v>251</v>
      </c>
      <c r="S33" s="297"/>
    </row>
    <row r="34" spans="1:19">
      <c r="A34" s="300"/>
      <c r="L34" s="295"/>
      <c r="M34" s="295"/>
      <c r="N34" s="295"/>
      <c r="O34" s="295"/>
      <c r="P34" s="295"/>
      <c r="Q34" s="295"/>
      <c r="S34" s="297"/>
    </row>
    <row r="35" spans="1:19">
      <c r="A35" s="300"/>
      <c r="B35" s="305" t="s">
        <v>252</v>
      </c>
      <c r="S35" s="297"/>
    </row>
    <row r="36" spans="1:19">
      <c r="A36" s="300"/>
      <c r="C36" s="299" t="s">
        <v>912</v>
      </c>
      <c r="S36" s="297"/>
    </row>
    <row r="37" spans="1:19">
      <c r="A37" s="300"/>
      <c r="C37" s="299" t="s">
        <v>913</v>
      </c>
      <c r="S37" s="297"/>
    </row>
    <row r="38" spans="1:19">
      <c r="A38" s="300"/>
      <c r="C38" s="299" t="s">
        <v>914</v>
      </c>
      <c r="O38" s="299"/>
      <c r="S38" s="297"/>
    </row>
    <row r="39" spans="1:19">
      <c r="A39" s="300"/>
      <c r="C39" s="299" t="s">
        <v>915</v>
      </c>
      <c r="L39" s="299"/>
      <c r="S39" s="297"/>
    </row>
    <row r="40" spans="1:19">
      <c r="A40" s="300"/>
      <c r="S40" s="297"/>
    </row>
    <row r="41" spans="1:19">
      <c r="A41" s="300"/>
      <c r="C41" s="299" t="s">
        <v>149</v>
      </c>
      <c r="S41" s="297"/>
    </row>
    <row r="42" spans="1:19">
      <c r="A42" s="300"/>
      <c r="C42" s="299" t="s">
        <v>265</v>
      </c>
      <c r="S42" s="297"/>
    </row>
    <row r="43" spans="1:19" ht="6" customHeight="1">
      <c r="A43" s="300"/>
      <c r="S43" s="297"/>
    </row>
    <row r="44" spans="1:19" ht="9" customHeight="1">
      <c r="A44" s="300"/>
      <c r="S44" s="297"/>
    </row>
    <row r="45" spans="1:19">
      <c r="A45" s="300"/>
      <c r="B45" s="305" t="s">
        <v>253</v>
      </c>
      <c r="S45" s="297"/>
    </row>
    <row r="46" spans="1:19">
      <c r="A46" s="300"/>
      <c r="B46" s="299" t="s">
        <v>916</v>
      </c>
      <c r="S46" s="297"/>
    </row>
    <row r="47" spans="1:19">
      <c r="A47" s="300"/>
      <c r="B47" s="299" t="s">
        <v>264</v>
      </c>
      <c r="S47" s="297"/>
    </row>
    <row r="48" spans="1:19">
      <c r="A48" s="300"/>
      <c r="B48" s="299" t="s">
        <v>266</v>
      </c>
      <c r="S48" s="297"/>
    </row>
    <row r="49" spans="1:19" ht="6" customHeight="1">
      <c r="A49" s="300"/>
      <c r="S49" s="297"/>
    </row>
    <row r="50" spans="1:19">
      <c r="A50" s="300"/>
      <c r="B50" s="305" t="s">
        <v>254</v>
      </c>
      <c r="F50" s="298"/>
      <c r="G50" s="298"/>
      <c r="H50" s="298"/>
      <c r="I50" s="298"/>
      <c r="J50" s="298"/>
      <c r="K50" s="298"/>
      <c r="L50" s="298"/>
      <c r="M50" s="298"/>
      <c r="N50" s="298"/>
      <c r="O50" s="298"/>
      <c r="P50" s="298"/>
      <c r="Q50" s="298"/>
      <c r="R50" s="298"/>
      <c r="S50" s="297"/>
    </row>
    <row r="51" spans="1:19">
      <c r="A51" s="300"/>
      <c r="B51" s="299"/>
      <c r="F51" s="298"/>
      <c r="G51" s="298"/>
      <c r="H51" s="298"/>
      <c r="I51" s="298"/>
      <c r="J51" s="298"/>
      <c r="K51" s="298"/>
      <c r="L51" s="298"/>
      <c r="M51" s="298"/>
      <c r="N51" s="298"/>
      <c r="O51" s="298"/>
      <c r="P51" s="298"/>
      <c r="Q51" s="298"/>
      <c r="R51" s="304"/>
      <c r="S51" s="297"/>
    </row>
    <row r="52" spans="1:19" ht="6" customHeight="1">
      <c r="A52" s="300"/>
      <c r="S52" s="297"/>
    </row>
    <row r="53" spans="1:19">
      <c r="A53" s="300"/>
      <c r="B53" s="299" t="s">
        <v>151</v>
      </c>
      <c r="H53" s="295"/>
      <c r="I53" s="295"/>
      <c r="J53" s="295"/>
      <c r="K53" s="295"/>
      <c r="L53" s="295"/>
      <c r="M53" s="295"/>
      <c r="N53" s="295"/>
      <c r="O53" s="295"/>
      <c r="P53" s="295"/>
      <c r="Q53" s="295"/>
      <c r="R53" s="295"/>
      <c r="S53" s="297"/>
    </row>
    <row r="54" spans="1:19" ht="6" customHeight="1">
      <c r="A54" s="300"/>
      <c r="S54" s="297"/>
    </row>
    <row r="55" spans="1:19">
      <c r="A55" s="300"/>
      <c r="B55" s="299" t="s">
        <v>152</v>
      </c>
      <c r="F55" s="303"/>
      <c r="G55" s="298"/>
      <c r="H55" s="298"/>
      <c r="I55" s="298"/>
      <c r="J55" s="298"/>
      <c r="K55" s="298"/>
      <c r="L55" s="298"/>
      <c r="M55" s="298"/>
      <c r="N55" s="298"/>
      <c r="O55" s="301" t="s">
        <v>622</v>
      </c>
      <c r="P55" s="672"/>
      <c r="Q55" s="672"/>
      <c r="R55" s="672"/>
      <c r="S55" s="297"/>
    </row>
    <row r="56" spans="1:19" ht="6" customHeight="1">
      <c r="A56" s="300"/>
      <c r="S56" s="297"/>
    </row>
    <row r="57" spans="1:19">
      <c r="A57" s="300"/>
      <c r="B57" s="299" t="s">
        <v>255</v>
      </c>
      <c r="D57" s="302"/>
      <c r="E57" s="298"/>
      <c r="F57" s="298"/>
      <c r="G57" s="298"/>
      <c r="H57" s="295"/>
      <c r="I57" s="663" t="s">
        <v>256</v>
      </c>
      <c r="J57" s="663"/>
      <c r="K57" s="671"/>
      <c r="L57" s="671"/>
      <c r="M57" s="671"/>
      <c r="N57" s="663" t="s">
        <v>258</v>
      </c>
      <c r="O57" s="663"/>
      <c r="P57" s="662"/>
      <c r="Q57" s="662"/>
      <c r="R57" s="662"/>
      <c r="S57" s="297"/>
    </row>
    <row r="58" spans="1:19" ht="6" customHeight="1">
      <c r="A58" s="300"/>
      <c r="S58" s="297"/>
    </row>
    <row r="59" spans="1:19">
      <c r="A59" s="300"/>
      <c r="B59" s="299" t="s">
        <v>41</v>
      </c>
      <c r="C59" s="302"/>
      <c r="D59" s="298"/>
      <c r="E59" s="298"/>
      <c r="F59" s="295"/>
      <c r="G59" s="295"/>
      <c r="I59" s="299" t="s">
        <v>153</v>
      </c>
      <c r="J59" s="295"/>
      <c r="K59" s="295"/>
      <c r="L59" s="295"/>
      <c r="M59" s="295"/>
      <c r="N59" s="295"/>
      <c r="O59" s="295"/>
      <c r="P59" s="295"/>
      <c r="Q59" s="295"/>
      <c r="R59" s="295"/>
      <c r="S59" s="297"/>
    </row>
    <row r="60" spans="1:19" ht="6" customHeight="1">
      <c r="A60" s="296"/>
      <c r="B60" s="295"/>
      <c r="C60" s="295"/>
      <c r="D60" s="295"/>
      <c r="E60" s="295"/>
      <c r="F60" s="295"/>
      <c r="G60" s="295"/>
      <c r="H60" s="295"/>
      <c r="I60" s="295"/>
      <c r="J60" s="295"/>
      <c r="K60" s="295"/>
      <c r="L60" s="295"/>
      <c r="M60" s="295"/>
      <c r="N60" s="295"/>
      <c r="O60" s="295"/>
      <c r="P60" s="295"/>
      <c r="Q60" s="295"/>
      <c r="R60" s="295"/>
      <c r="S60" s="294"/>
    </row>
    <row r="61" spans="1:19">
      <c r="A61" s="315"/>
      <c r="B61" s="316"/>
      <c r="C61" s="316"/>
      <c r="D61" s="316"/>
      <c r="E61" s="316"/>
      <c r="F61" s="316"/>
      <c r="G61" s="316"/>
      <c r="H61" s="316"/>
      <c r="I61" s="317"/>
      <c r="J61" s="317" t="s">
        <v>917</v>
      </c>
      <c r="K61" s="316"/>
      <c r="L61" s="316"/>
      <c r="M61" s="316"/>
      <c r="N61" s="316"/>
      <c r="O61" s="316"/>
      <c r="P61" s="316"/>
      <c r="Q61" s="316"/>
      <c r="R61" s="316"/>
      <c r="S61" s="318"/>
    </row>
    <row r="62" spans="1:19">
      <c r="A62" s="315"/>
      <c r="B62" s="319" t="s">
        <v>146</v>
      </c>
      <c r="C62" s="316"/>
      <c r="D62" s="316"/>
      <c r="E62" s="316"/>
      <c r="F62" s="316"/>
      <c r="G62" s="316"/>
      <c r="H62" s="316"/>
      <c r="I62" s="319"/>
      <c r="J62" s="318"/>
      <c r="K62" s="319"/>
      <c r="L62" s="316"/>
      <c r="M62" s="316"/>
      <c r="N62" s="316"/>
      <c r="O62" s="316"/>
      <c r="P62" s="316"/>
      <c r="Q62" s="316"/>
      <c r="R62" s="316"/>
      <c r="S62" s="318"/>
    </row>
    <row r="63" spans="1:19">
      <c r="A63" s="315"/>
      <c r="B63" s="319"/>
      <c r="C63" s="316"/>
      <c r="D63" s="316"/>
      <c r="E63" s="316"/>
      <c r="F63" s="316"/>
      <c r="G63" s="316"/>
      <c r="H63" s="316"/>
      <c r="I63" s="319"/>
      <c r="J63" s="318"/>
      <c r="K63" s="319" t="s">
        <v>812</v>
      </c>
      <c r="L63" s="316"/>
      <c r="M63" s="316"/>
      <c r="N63" s="316"/>
      <c r="O63" s="316"/>
      <c r="P63" s="316"/>
      <c r="Q63" s="316"/>
      <c r="R63" s="316"/>
      <c r="S63" s="318"/>
    </row>
    <row r="64" spans="1:19">
      <c r="A64" s="315"/>
      <c r="B64" s="316"/>
      <c r="C64" s="316"/>
      <c r="D64" s="316"/>
      <c r="E64" s="320"/>
      <c r="F64" s="316"/>
      <c r="G64" s="316"/>
      <c r="H64" s="316"/>
      <c r="I64" s="316"/>
      <c r="J64" s="318"/>
      <c r="K64" s="316"/>
      <c r="L64" s="666"/>
      <c r="M64" s="666"/>
      <c r="N64" s="666"/>
      <c r="O64" s="666"/>
      <c r="P64" s="666"/>
      <c r="Q64" s="666"/>
      <c r="R64" s="666"/>
      <c r="S64" s="318"/>
    </row>
    <row r="65" spans="1:19">
      <c r="A65" s="315"/>
      <c r="B65" s="319" t="s">
        <v>401</v>
      </c>
      <c r="C65" s="316"/>
      <c r="D65" s="666"/>
      <c r="E65" s="666"/>
      <c r="F65" s="666"/>
      <c r="G65" s="666"/>
      <c r="H65" s="322" t="s">
        <v>622</v>
      </c>
      <c r="I65" s="668"/>
      <c r="J65" s="669"/>
      <c r="K65" s="316"/>
      <c r="L65" s="670"/>
      <c r="M65" s="670"/>
      <c r="N65" s="670"/>
      <c r="O65" s="670"/>
      <c r="P65" s="670"/>
      <c r="Q65" s="670"/>
      <c r="R65" s="670"/>
      <c r="S65" s="318"/>
    </row>
    <row r="66" spans="1:19">
      <c r="A66" s="315"/>
      <c r="B66" s="316"/>
      <c r="C66" s="316"/>
      <c r="D66" s="316"/>
      <c r="E66" s="320"/>
      <c r="F66" s="316"/>
      <c r="G66" s="316"/>
      <c r="H66" s="316"/>
      <c r="I66" s="316"/>
      <c r="J66" s="318"/>
      <c r="K66" s="316"/>
      <c r="L66" s="670"/>
      <c r="M66" s="670"/>
      <c r="N66" s="670"/>
      <c r="O66" s="670"/>
      <c r="P66" s="670"/>
      <c r="Q66" s="670"/>
      <c r="R66" s="670"/>
      <c r="S66" s="318"/>
    </row>
    <row r="67" spans="1:19">
      <c r="A67" s="315"/>
      <c r="B67" s="319" t="s">
        <v>255</v>
      </c>
      <c r="C67" s="316"/>
      <c r="D67" s="667"/>
      <c r="E67" s="667"/>
      <c r="F67" s="667"/>
      <c r="G67" s="667"/>
      <c r="H67" s="316"/>
      <c r="I67" s="316"/>
      <c r="J67" s="318"/>
      <c r="K67" s="316"/>
      <c r="L67" s="670"/>
      <c r="M67" s="670"/>
      <c r="N67" s="670"/>
      <c r="O67" s="670"/>
      <c r="P67" s="670"/>
      <c r="Q67" s="670"/>
      <c r="R67" s="670"/>
      <c r="S67" s="318"/>
    </row>
    <row r="68" spans="1:19" ht="6" customHeight="1">
      <c r="A68" s="324"/>
      <c r="B68" s="321"/>
      <c r="C68" s="321"/>
      <c r="D68" s="321"/>
      <c r="E68" s="321"/>
      <c r="F68" s="321"/>
      <c r="G68" s="321"/>
      <c r="H68" s="321"/>
      <c r="I68" s="321"/>
      <c r="J68" s="323"/>
      <c r="K68" s="321"/>
      <c r="L68" s="321"/>
      <c r="M68" s="321"/>
      <c r="N68" s="321"/>
      <c r="O68" s="321"/>
      <c r="P68" s="321"/>
      <c r="Q68" s="321"/>
      <c r="R68" s="321"/>
      <c r="S68" s="323"/>
    </row>
  </sheetData>
  <mergeCells count="37">
    <mergeCell ref="A1:S1"/>
    <mergeCell ref="P55:R55"/>
    <mergeCell ref="D3:I3"/>
    <mergeCell ref="J3:L3"/>
    <mergeCell ref="M3:O3"/>
    <mergeCell ref="Q3:R3"/>
    <mergeCell ref="D5:F5"/>
    <mergeCell ref="G5:K5"/>
    <mergeCell ref="Q5:R5"/>
    <mergeCell ref="L5:O5"/>
    <mergeCell ref="J15:Q15"/>
    <mergeCell ref="J18:R18"/>
    <mergeCell ref="J21:R21"/>
    <mergeCell ref="B15:G15"/>
    <mergeCell ref="I57:J57"/>
    <mergeCell ref="K57:M57"/>
    <mergeCell ref="N57:O57"/>
    <mergeCell ref="P57:R57"/>
    <mergeCell ref="Q7:R7"/>
    <mergeCell ref="J9:L9"/>
    <mergeCell ref="Q9:R9"/>
    <mergeCell ref="H11:K11"/>
    <mergeCell ref="Q11:R11"/>
    <mergeCell ref="G7:O7"/>
    <mergeCell ref="F9:I9"/>
    <mergeCell ref="M9:N9"/>
    <mergeCell ref="L11:O11"/>
    <mergeCell ref="E11:G11"/>
    <mergeCell ref="B18:H18"/>
    <mergeCell ref="B21:H21"/>
    <mergeCell ref="D65:G65"/>
    <mergeCell ref="D67:G67"/>
    <mergeCell ref="I65:J65"/>
    <mergeCell ref="L64:R64"/>
    <mergeCell ref="L67:R67"/>
    <mergeCell ref="L66:R66"/>
    <mergeCell ref="L65:R65"/>
  </mergeCells>
  <printOptions horizontalCentered="1"/>
  <pageMargins left="0.45" right="0.45" top="1.25" bottom="0.75" header="0.3" footer="0.3"/>
  <pageSetup scale="87" orientation="portrait" horizontalDpi="300" verticalDpi="1200" r:id="rId1"/>
  <headerFooter alignWithMargins="0">
    <oddHeader xml:space="preserve">&amp;L&amp;G&amp;C&amp;"Arial,Bold"&amp;14Part Submission Warrant      </oddHeader>
    <oddFooter>&amp;C&amp;F Revision 6.0</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19649" r:id="rId5" name="Check Box 1">
              <controlPr locked="0" defaultSize="0" autoFill="0" autoLine="0" autoPict="0">
                <anchor moveWithCells="1">
                  <from>
                    <xdr:col>1</xdr:col>
                    <xdr:colOff>38100</xdr:colOff>
                    <xdr:row>27</xdr:row>
                    <xdr:rowOff>142875</xdr:rowOff>
                  </from>
                  <to>
                    <xdr:col>1</xdr:col>
                    <xdr:colOff>333375</xdr:colOff>
                    <xdr:row>29</xdr:row>
                    <xdr:rowOff>28575</xdr:rowOff>
                  </to>
                </anchor>
              </controlPr>
            </control>
          </mc:Choice>
        </mc:AlternateContent>
        <mc:AlternateContent xmlns:mc="http://schemas.openxmlformats.org/markup-compatibility/2006">
          <mc:Choice Requires="x14">
            <control shapeId="1819650" r:id="rId6" name="Check Box 2">
              <controlPr locked="0" defaultSize="0" autoFill="0" autoLine="0" autoPict="0">
                <anchor moveWithCells="1">
                  <from>
                    <xdr:col>1</xdr:col>
                    <xdr:colOff>38100</xdr:colOff>
                    <xdr:row>28</xdr:row>
                    <xdr:rowOff>133350</xdr:rowOff>
                  </from>
                  <to>
                    <xdr:col>1</xdr:col>
                    <xdr:colOff>333375</xdr:colOff>
                    <xdr:row>30</xdr:row>
                    <xdr:rowOff>19050</xdr:rowOff>
                  </to>
                </anchor>
              </controlPr>
            </control>
          </mc:Choice>
        </mc:AlternateContent>
        <mc:AlternateContent xmlns:mc="http://schemas.openxmlformats.org/markup-compatibility/2006">
          <mc:Choice Requires="x14">
            <control shapeId="1819651" r:id="rId7" name="Check Box 3">
              <controlPr locked="0" defaultSize="0" autoFill="0" autoLine="0" autoPict="0">
                <anchor moveWithCells="1">
                  <from>
                    <xdr:col>1</xdr:col>
                    <xdr:colOff>38100</xdr:colOff>
                    <xdr:row>29</xdr:row>
                    <xdr:rowOff>133350</xdr:rowOff>
                  </from>
                  <to>
                    <xdr:col>1</xdr:col>
                    <xdr:colOff>333375</xdr:colOff>
                    <xdr:row>31</xdr:row>
                    <xdr:rowOff>19050</xdr:rowOff>
                  </to>
                </anchor>
              </controlPr>
            </control>
          </mc:Choice>
        </mc:AlternateContent>
        <mc:AlternateContent xmlns:mc="http://schemas.openxmlformats.org/markup-compatibility/2006">
          <mc:Choice Requires="x14">
            <control shapeId="1819652" r:id="rId8" name="Check Box 4">
              <controlPr locked="0" defaultSize="0" autoFill="0" autoLine="0" autoPict="0">
                <anchor moveWithCells="1">
                  <from>
                    <xdr:col>1</xdr:col>
                    <xdr:colOff>38100</xdr:colOff>
                    <xdr:row>30</xdr:row>
                    <xdr:rowOff>133350</xdr:rowOff>
                  </from>
                  <to>
                    <xdr:col>1</xdr:col>
                    <xdr:colOff>333375</xdr:colOff>
                    <xdr:row>32</xdr:row>
                    <xdr:rowOff>19050</xdr:rowOff>
                  </to>
                </anchor>
              </controlPr>
            </control>
          </mc:Choice>
        </mc:AlternateContent>
        <mc:AlternateContent xmlns:mc="http://schemas.openxmlformats.org/markup-compatibility/2006">
          <mc:Choice Requires="x14">
            <control shapeId="1819653" r:id="rId9" name="Check Box 5">
              <controlPr locked="0" defaultSize="0" autoFill="0" autoLine="0" autoPict="0">
                <anchor moveWithCells="1">
                  <from>
                    <xdr:col>1</xdr:col>
                    <xdr:colOff>38100</xdr:colOff>
                    <xdr:row>31</xdr:row>
                    <xdr:rowOff>142875</xdr:rowOff>
                  </from>
                  <to>
                    <xdr:col>1</xdr:col>
                    <xdr:colOff>333375</xdr:colOff>
                    <xdr:row>33</xdr:row>
                    <xdr:rowOff>28575</xdr:rowOff>
                  </to>
                </anchor>
              </controlPr>
            </control>
          </mc:Choice>
        </mc:AlternateContent>
        <mc:AlternateContent xmlns:mc="http://schemas.openxmlformats.org/markup-compatibility/2006">
          <mc:Choice Requires="x14">
            <control shapeId="1819654" r:id="rId10" name="Check Box 6">
              <controlPr locked="0" defaultSize="0" autoFill="0" autoLine="0" autoPict="0">
                <anchor moveWithCells="1">
                  <from>
                    <xdr:col>10</xdr:col>
                    <xdr:colOff>38100</xdr:colOff>
                    <xdr:row>29</xdr:row>
                    <xdr:rowOff>133350</xdr:rowOff>
                  </from>
                  <to>
                    <xdr:col>10</xdr:col>
                    <xdr:colOff>333375</xdr:colOff>
                    <xdr:row>31</xdr:row>
                    <xdr:rowOff>19050</xdr:rowOff>
                  </to>
                </anchor>
              </controlPr>
            </control>
          </mc:Choice>
        </mc:AlternateContent>
        <mc:AlternateContent xmlns:mc="http://schemas.openxmlformats.org/markup-compatibility/2006">
          <mc:Choice Requires="x14">
            <control shapeId="1819655" r:id="rId11" name="Check Box 7">
              <controlPr locked="0" defaultSize="0" autoFill="0" autoLine="0" autoPict="0">
                <anchor moveWithCells="1">
                  <from>
                    <xdr:col>10</xdr:col>
                    <xdr:colOff>38100</xdr:colOff>
                    <xdr:row>28</xdr:row>
                    <xdr:rowOff>133350</xdr:rowOff>
                  </from>
                  <to>
                    <xdr:col>10</xdr:col>
                    <xdr:colOff>333375</xdr:colOff>
                    <xdr:row>30</xdr:row>
                    <xdr:rowOff>19050</xdr:rowOff>
                  </to>
                </anchor>
              </controlPr>
            </control>
          </mc:Choice>
        </mc:AlternateContent>
        <mc:AlternateContent xmlns:mc="http://schemas.openxmlformats.org/markup-compatibility/2006">
          <mc:Choice Requires="x14">
            <control shapeId="1819656" r:id="rId12" name="Check Box 8">
              <controlPr locked="0" defaultSize="0" autoFill="0" autoLine="0" autoPict="0">
                <anchor moveWithCells="1">
                  <from>
                    <xdr:col>10</xdr:col>
                    <xdr:colOff>38100</xdr:colOff>
                    <xdr:row>27</xdr:row>
                    <xdr:rowOff>133350</xdr:rowOff>
                  </from>
                  <to>
                    <xdr:col>10</xdr:col>
                    <xdr:colOff>333375</xdr:colOff>
                    <xdr:row>29</xdr:row>
                    <xdr:rowOff>19050</xdr:rowOff>
                  </to>
                </anchor>
              </controlPr>
            </control>
          </mc:Choice>
        </mc:AlternateContent>
        <mc:AlternateContent xmlns:mc="http://schemas.openxmlformats.org/markup-compatibility/2006">
          <mc:Choice Requires="x14">
            <control shapeId="1819657" r:id="rId13" name="Check Box 9">
              <controlPr locked="0" defaultSize="0" autoFill="0" autoLine="0" autoPict="0">
                <anchor moveWithCells="1">
                  <from>
                    <xdr:col>1</xdr:col>
                    <xdr:colOff>47625</xdr:colOff>
                    <xdr:row>40</xdr:row>
                    <xdr:rowOff>133350</xdr:rowOff>
                  </from>
                  <to>
                    <xdr:col>1</xdr:col>
                    <xdr:colOff>342900</xdr:colOff>
                    <xdr:row>42</xdr:row>
                    <xdr:rowOff>19050</xdr:rowOff>
                  </to>
                </anchor>
              </controlPr>
            </control>
          </mc:Choice>
        </mc:AlternateContent>
        <mc:AlternateContent xmlns:mc="http://schemas.openxmlformats.org/markup-compatibility/2006">
          <mc:Choice Requires="x14">
            <control shapeId="1819658" r:id="rId14" name="Check Box 10">
              <controlPr locked="0" defaultSize="0" autoFill="0" autoLine="0" autoPict="0">
                <anchor moveWithCells="1">
                  <from>
                    <xdr:col>1</xdr:col>
                    <xdr:colOff>47625</xdr:colOff>
                    <xdr:row>37</xdr:row>
                    <xdr:rowOff>142875</xdr:rowOff>
                  </from>
                  <to>
                    <xdr:col>1</xdr:col>
                    <xdr:colOff>342900</xdr:colOff>
                    <xdr:row>39</xdr:row>
                    <xdr:rowOff>28575</xdr:rowOff>
                  </to>
                </anchor>
              </controlPr>
            </control>
          </mc:Choice>
        </mc:AlternateContent>
        <mc:AlternateContent xmlns:mc="http://schemas.openxmlformats.org/markup-compatibility/2006">
          <mc:Choice Requires="x14">
            <control shapeId="1819659" r:id="rId15" name="Check Box 11">
              <controlPr locked="0" defaultSize="0" autoFill="0" autoLine="0" autoPict="0">
                <anchor moveWithCells="1">
                  <from>
                    <xdr:col>1</xdr:col>
                    <xdr:colOff>47625</xdr:colOff>
                    <xdr:row>36</xdr:row>
                    <xdr:rowOff>133350</xdr:rowOff>
                  </from>
                  <to>
                    <xdr:col>1</xdr:col>
                    <xdr:colOff>342900</xdr:colOff>
                    <xdr:row>38</xdr:row>
                    <xdr:rowOff>19050</xdr:rowOff>
                  </to>
                </anchor>
              </controlPr>
            </control>
          </mc:Choice>
        </mc:AlternateContent>
        <mc:AlternateContent xmlns:mc="http://schemas.openxmlformats.org/markup-compatibility/2006">
          <mc:Choice Requires="x14">
            <control shapeId="1819660" r:id="rId16" name="Check Box 12">
              <controlPr locked="0" defaultSize="0" autoFill="0" autoLine="0" autoPict="0">
                <anchor moveWithCells="1">
                  <from>
                    <xdr:col>1</xdr:col>
                    <xdr:colOff>47625</xdr:colOff>
                    <xdr:row>35</xdr:row>
                    <xdr:rowOff>133350</xdr:rowOff>
                  </from>
                  <to>
                    <xdr:col>1</xdr:col>
                    <xdr:colOff>342900</xdr:colOff>
                    <xdr:row>37</xdr:row>
                    <xdr:rowOff>19050</xdr:rowOff>
                  </to>
                </anchor>
              </controlPr>
            </control>
          </mc:Choice>
        </mc:AlternateContent>
        <mc:AlternateContent xmlns:mc="http://schemas.openxmlformats.org/markup-compatibility/2006">
          <mc:Choice Requires="x14">
            <control shapeId="1819661" r:id="rId17" name="Check Box 13">
              <controlPr locked="0" defaultSize="0" autoFill="0" autoLine="0" autoPict="0">
                <anchor moveWithCells="1">
                  <from>
                    <xdr:col>1</xdr:col>
                    <xdr:colOff>47625</xdr:colOff>
                    <xdr:row>34</xdr:row>
                    <xdr:rowOff>123825</xdr:rowOff>
                  </from>
                  <to>
                    <xdr:col>1</xdr:col>
                    <xdr:colOff>342900</xdr:colOff>
                    <xdr:row>36</xdr:row>
                    <xdr:rowOff>9525</xdr:rowOff>
                  </to>
                </anchor>
              </controlPr>
            </control>
          </mc:Choice>
        </mc:AlternateContent>
        <mc:AlternateContent xmlns:mc="http://schemas.openxmlformats.org/markup-compatibility/2006">
          <mc:Choice Requires="x14">
            <control shapeId="1819662" r:id="rId18" name="Check Box 14">
              <controlPr locked="0" defaultSize="0" autoFill="0" autoLine="0" autoPict="0">
                <anchor moveWithCells="1">
                  <from>
                    <xdr:col>4</xdr:col>
                    <xdr:colOff>123825</xdr:colOff>
                    <xdr:row>60</xdr:row>
                    <xdr:rowOff>142875</xdr:rowOff>
                  </from>
                  <to>
                    <xdr:col>6</xdr:col>
                    <xdr:colOff>209550</xdr:colOff>
                    <xdr:row>62</xdr:row>
                    <xdr:rowOff>28575</xdr:rowOff>
                  </to>
                </anchor>
              </controlPr>
            </control>
          </mc:Choice>
        </mc:AlternateContent>
        <mc:AlternateContent xmlns:mc="http://schemas.openxmlformats.org/markup-compatibility/2006">
          <mc:Choice Requires="x14">
            <control shapeId="1819663" r:id="rId19" name="Check Box 15">
              <controlPr locked="0" defaultSize="0" autoFill="0" autoLine="0" autoPict="0">
                <anchor moveWithCells="1">
                  <from>
                    <xdr:col>6</xdr:col>
                    <xdr:colOff>200025</xdr:colOff>
                    <xdr:row>60</xdr:row>
                    <xdr:rowOff>142875</xdr:rowOff>
                  </from>
                  <to>
                    <xdr:col>8</xdr:col>
                    <xdr:colOff>295275</xdr:colOff>
                    <xdr:row>62</xdr:row>
                    <xdr:rowOff>28575</xdr:rowOff>
                  </to>
                </anchor>
              </controlPr>
            </control>
          </mc:Choice>
        </mc:AlternateContent>
        <mc:AlternateContent xmlns:mc="http://schemas.openxmlformats.org/markup-compatibility/2006">
          <mc:Choice Requires="x14">
            <control shapeId="1819664" r:id="rId20" name="Check Box 16">
              <controlPr locked="0" defaultSize="0" autoFill="0" autoLine="0" autoPict="0">
                <anchor moveWithCells="1">
                  <from>
                    <xdr:col>4</xdr:col>
                    <xdr:colOff>123825</xdr:colOff>
                    <xdr:row>61</xdr:row>
                    <xdr:rowOff>123825</xdr:rowOff>
                  </from>
                  <to>
                    <xdr:col>7</xdr:col>
                    <xdr:colOff>9525</xdr:colOff>
                    <xdr:row>63</xdr:row>
                    <xdr:rowOff>19050</xdr:rowOff>
                  </to>
                </anchor>
              </controlPr>
            </control>
          </mc:Choice>
        </mc:AlternateContent>
        <mc:AlternateContent xmlns:mc="http://schemas.openxmlformats.org/markup-compatibility/2006">
          <mc:Choice Requires="x14">
            <control shapeId="1819665" r:id="rId21" name="Check Box 17">
              <controlPr locked="0" defaultSize="0" autoFill="0" autoLine="0" autoPict="0">
                <anchor moveWithCells="1">
                  <from>
                    <xdr:col>10</xdr:col>
                    <xdr:colOff>38100</xdr:colOff>
                    <xdr:row>30</xdr:row>
                    <xdr:rowOff>133350</xdr:rowOff>
                  </from>
                  <to>
                    <xdr:col>10</xdr:col>
                    <xdr:colOff>333375</xdr:colOff>
                    <xdr:row>32</xdr:row>
                    <xdr:rowOff>19050</xdr:rowOff>
                  </to>
                </anchor>
              </controlPr>
            </control>
          </mc:Choice>
        </mc:AlternateContent>
        <mc:AlternateContent xmlns:mc="http://schemas.openxmlformats.org/markup-compatibility/2006">
          <mc:Choice Requires="x14">
            <control shapeId="1819666" r:id="rId22" name="Check Box 18">
              <controlPr locked="0" defaultSize="0" autoFill="0" autoLine="0" autoPict="0">
                <anchor moveWithCells="1">
                  <from>
                    <xdr:col>14</xdr:col>
                    <xdr:colOff>9525</xdr:colOff>
                    <xdr:row>22</xdr:row>
                    <xdr:rowOff>57150</xdr:rowOff>
                  </from>
                  <to>
                    <xdr:col>15</xdr:col>
                    <xdr:colOff>114300</xdr:colOff>
                    <xdr:row>24</xdr:row>
                    <xdr:rowOff>28575</xdr:rowOff>
                  </to>
                </anchor>
              </controlPr>
            </control>
          </mc:Choice>
        </mc:AlternateContent>
        <mc:AlternateContent xmlns:mc="http://schemas.openxmlformats.org/markup-compatibility/2006">
          <mc:Choice Requires="x14">
            <control shapeId="1819667" r:id="rId23" name="Check Box 19">
              <controlPr locked="0" defaultSize="0" autoFill="0" autoLine="0" autoPict="0">
                <anchor moveWithCells="1">
                  <from>
                    <xdr:col>16</xdr:col>
                    <xdr:colOff>95250</xdr:colOff>
                    <xdr:row>22</xdr:row>
                    <xdr:rowOff>57150</xdr:rowOff>
                  </from>
                  <to>
                    <xdr:col>17</xdr:col>
                    <xdr:colOff>114300</xdr:colOff>
                    <xdr:row>24</xdr:row>
                    <xdr:rowOff>28575</xdr:rowOff>
                  </to>
                </anchor>
              </controlPr>
            </control>
          </mc:Choice>
        </mc:AlternateContent>
        <mc:AlternateContent xmlns:mc="http://schemas.openxmlformats.org/markup-compatibility/2006">
          <mc:Choice Requires="x14">
            <control shapeId="1819668" r:id="rId24" name="Check Box 20">
              <controlPr locked="0" defaultSize="0" autoFill="0" autoLine="0" autoPict="0">
                <anchor moveWithCells="1">
                  <from>
                    <xdr:col>14</xdr:col>
                    <xdr:colOff>9525</xdr:colOff>
                    <xdr:row>24</xdr:row>
                    <xdr:rowOff>133350</xdr:rowOff>
                  </from>
                  <to>
                    <xdr:col>15</xdr:col>
                    <xdr:colOff>114300</xdr:colOff>
                    <xdr:row>26</xdr:row>
                    <xdr:rowOff>19050</xdr:rowOff>
                  </to>
                </anchor>
              </controlPr>
            </control>
          </mc:Choice>
        </mc:AlternateContent>
        <mc:AlternateContent xmlns:mc="http://schemas.openxmlformats.org/markup-compatibility/2006">
          <mc:Choice Requires="x14">
            <control shapeId="1819669" r:id="rId25" name="Check Box 21">
              <controlPr locked="0" defaultSize="0" autoFill="0" autoLine="0" autoPict="0">
                <anchor moveWithCells="1">
                  <from>
                    <xdr:col>16</xdr:col>
                    <xdr:colOff>104775</xdr:colOff>
                    <xdr:row>24</xdr:row>
                    <xdr:rowOff>133350</xdr:rowOff>
                  </from>
                  <to>
                    <xdr:col>17</xdr:col>
                    <xdr:colOff>123825</xdr:colOff>
                    <xdr:row>26</xdr:row>
                    <xdr:rowOff>19050</xdr:rowOff>
                  </to>
                </anchor>
              </controlPr>
            </control>
          </mc:Choice>
        </mc:AlternateContent>
        <mc:AlternateContent xmlns:mc="http://schemas.openxmlformats.org/markup-compatibility/2006">
          <mc:Choice Requires="x14">
            <control shapeId="1819670" r:id="rId26" name="Check Box 22">
              <controlPr locked="0" defaultSize="0" autoFill="0" autoLine="0" autoPict="0">
                <anchor moveWithCells="1">
                  <from>
                    <xdr:col>10</xdr:col>
                    <xdr:colOff>38100</xdr:colOff>
                    <xdr:row>31</xdr:row>
                    <xdr:rowOff>133350</xdr:rowOff>
                  </from>
                  <to>
                    <xdr:col>10</xdr:col>
                    <xdr:colOff>333375</xdr:colOff>
                    <xdr:row>33</xdr:row>
                    <xdr:rowOff>19050</xdr:rowOff>
                  </to>
                </anchor>
              </controlPr>
            </control>
          </mc:Choice>
        </mc:AlternateContent>
        <mc:AlternateContent xmlns:mc="http://schemas.openxmlformats.org/markup-compatibility/2006">
          <mc:Choice Requires="x14">
            <control shapeId="1819671" r:id="rId27" name="Check Box 23">
              <controlPr locked="0" defaultSize="0" autoFill="0" autoLine="0" autoPict="0">
                <anchor moveWithCells="1">
                  <from>
                    <xdr:col>3</xdr:col>
                    <xdr:colOff>219075</xdr:colOff>
                    <xdr:row>39</xdr:row>
                    <xdr:rowOff>133350</xdr:rowOff>
                  </from>
                  <to>
                    <xdr:col>4</xdr:col>
                    <xdr:colOff>152400</xdr:colOff>
                    <xdr:row>41</xdr:row>
                    <xdr:rowOff>28575</xdr:rowOff>
                  </to>
                </anchor>
              </controlPr>
            </control>
          </mc:Choice>
        </mc:AlternateContent>
        <mc:AlternateContent xmlns:mc="http://schemas.openxmlformats.org/markup-compatibility/2006">
          <mc:Choice Requires="x14">
            <control shapeId="1819672" r:id="rId28" name="Check Box 24">
              <controlPr locked="0" defaultSize="0" autoFill="0" autoLine="0" autoPict="0">
                <anchor moveWithCells="1">
                  <from>
                    <xdr:col>4</xdr:col>
                    <xdr:colOff>66675</xdr:colOff>
                    <xdr:row>39</xdr:row>
                    <xdr:rowOff>133350</xdr:rowOff>
                  </from>
                  <to>
                    <xdr:col>5</xdr:col>
                    <xdr:colOff>0</xdr:colOff>
                    <xdr:row>41</xdr:row>
                    <xdr:rowOff>28575</xdr:rowOff>
                  </to>
                </anchor>
              </controlPr>
            </control>
          </mc:Choice>
        </mc:AlternateContent>
        <mc:AlternateContent xmlns:mc="http://schemas.openxmlformats.org/markup-compatibility/2006">
          <mc:Choice Requires="x14">
            <control shapeId="1819673" r:id="rId29" name="Check Box 25">
              <controlPr locked="0" defaultSize="0" autoFill="0" autoLine="0" autoPict="0">
                <anchor moveWithCells="1">
                  <from>
                    <xdr:col>4</xdr:col>
                    <xdr:colOff>285750</xdr:colOff>
                    <xdr:row>39</xdr:row>
                    <xdr:rowOff>133350</xdr:rowOff>
                  </from>
                  <to>
                    <xdr:col>5</xdr:col>
                    <xdr:colOff>219075</xdr:colOff>
                    <xdr:row>41</xdr:row>
                    <xdr:rowOff>28575</xdr:rowOff>
                  </to>
                </anchor>
              </controlPr>
            </control>
          </mc:Choice>
        </mc:AlternateContent>
        <mc:AlternateContent xmlns:mc="http://schemas.openxmlformats.org/markup-compatibility/2006">
          <mc:Choice Requires="x14">
            <control shapeId="1819674" r:id="rId30" name="Check Box 26">
              <controlPr locked="0" defaultSize="0" autoFill="0" autoLine="0" autoPict="0">
                <anchor moveWithCells="1">
                  <from>
                    <xdr:col>5</xdr:col>
                    <xdr:colOff>133350</xdr:colOff>
                    <xdr:row>39</xdr:row>
                    <xdr:rowOff>133350</xdr:rowOff>
                  </from>
                  <to>
                    <xdr:col>6</xdr:col>
                    <xdr:colOff>66675</xdr:colOff>
                    <xdr:row>41</xdr:row>
                    <xdr:rowOff>28575</xdr:rowOff>
                  </to>
                </anchor>
              </controlPr>
            </control>
          </mc:Choice>
        </mc:AlternateContent>
        <mc:AlternateContent xmlns:mc="http://schemas.openxmlformats.org/markup-compatibility/2006">
          <mc:Choice Requires="x14">
            <control shapeId="1819675" r:id="rId31" name="Check Box 27">
              <controlPr locked="0" defaultSize="0" autoFill="0" autoLine="0" autoPict="0">
                <anchor moveWithCells="1">
                  <from>
                    <xdr:col>5</xdr:col>
                    <xdr:colOff>333375</xdr:colOff>
                    <xdr:row>39</xdr:row>
                    <xdr:rowOff>133350</xdr:rowOff>
                  </from>
                  <to>
                    <xdr:col>6</xdr:col>
                    <xdr:colOff>266700</xdr:colOff>
                    <xdr:row>41</xdr:row>
                    <xdr:rowOff>28575</xdr:rowOff>
                  </to>
                </anchor>
              </controlPr>
            </control>
          </mc:Choice>
        </mc:AlternateContent>
        <mc:AlternateContent xmlns:mc="http://schemas.openxmlformats.org/markup-compatibility/2006">
          <mc:Choice Requires="x14">
            <control shapeId="1819676" r:id="rId32" name="Check Box 28">
              <controlPr locked="0" defaultSize="0" autoFill="0" autoLine="0" autoPict="0">
                <anchor moveWithCells="1">
                  <from>
                    <xdr:col>6</xdr:col>
                    <xdr:colOff>161925</xdr:colOff>
                    <xdr:row>39</xdr:row>
                    <xdr:rowOff>133350</xdr:rowOff>
                  </from>
                  <to>
                    <xdr:col>7</xdr:col>
                    <xdr:colOff>95250</xdr:colOff>
                    <xdr:row>41</xdr:row>
                    <xdr:rowOff>28575</xdr:rowOff>
                  </to>
                </anchor>
              </controlPr>
            </control>
          </mc:Choice>
        </mc:AlternateContent>
        <mc:AlternateContent xmlns:mc="http://schemas.openxmlformats.org/markup-compatibility/2006">
          <mc:Choice Requires="x14">
            <control shapeId="1819677" r:id="rId33" name="Check Box 29">
              <controlPr locked="0" defaultSize="0" autoFill="0" autoLine="0" autoPict="0">
                <anchor moveWithCells="1">
                  <from>
                    <xdr:col>6</xdr:col>
                    <xdr:colOff>361950</xdr:colOff>
                    <xdr:row>39</xdr:row>
                    <xdr:rowOff>133350</xdr:rowOff>
                  </from>
                  <to>
                    <xdr:col>7</xdr:col>
                    <xdr:colOff>295275</xdr:colOff>
                    <xdr:row>41</xdr:row>
                    <xdr:rowOff>28575</xdr:rowOff>
                  </to>
                </anchor>
              </controlPr>
            </control>
          </mc:Choice>
        </mc:AlternateContent>
        <mc:AlternateContent xmlns:mc="http://schemas.openxmlformats.org/markup-compatibility/2006">
          <mc:Choice Requires="x14">
            <control shapeId="1819678" r:id="rId34" name="Check Box 30">
              <controlPr locked="0" defaultSize="0" autoFill="0" autoLine="0" autoPict="0">
                <anchor moveWithCells="1">
                  <from>
                    <xdr:col>7</xdr:col>
                    <xdr:colOff>190500</xdr:colOff>
                    <xdr:row>39</xdr:row>
                    <xdr:rowOff>133350</xdr:rowOff>
                  </from>
                  <to>
                    <xdr:col>8</xdr:col>
                    <xdr:colOff>123825</xdr:colOff>
                    <xdr:row>41</xdr:row>
                    <xdr:rowOff>28575</xdr:rowOff>
                  </to>
                </anchor>
              </controlPr>
            </control>
          </mc:Choice>
        </mc:AlternateContent>
        <mc:AlternateContent xmlns:mc="http://schemas.openxmlformats.org/markup-compatibility/2006">
          <mc:Choice Requires="x14">
            <control shapeId="1819679" r:id="rId35" name="Check Box 31">
              <controlPr locked="0" defaultSize="0" autoFill="0" autoLine="0" autoPict="0">
                <anchor moveWithCells="1">
                  <from>
                    <xdr:col>8</xdr:col>
                    <xdr:colOff>9525</xdr:colOff>
                    <xdr:row>39</xdr:row>
                    <xdr:rowOff>133350</xdr:rowOff>
                  </from>
                  <to>
                    <xdr:col>8</xdr:col>
                    <xdr:colOff>314325</xdr:colOff>
                    <xdr:row>41</xdr:row>
                    <xdr:rowOff>28575</xdr:rowOff>
                  </to>
                </anchor>
              </controlPr>
            </control>
          </mc:Choice>
        </mc:AlternateContent>
        <mc:AlternateContent xmlns:mc="http://schemas.openxmlformats.org/markup-compatibility/2006">
          <mc:Choice Requires="x14">
            <control shapeId="1819680" r:id="rId36" name="Check Box 32">
              <controlPr locked="0" defaultSize="0" autoFill="0" autoLine="0" autoPict="0">
                <anchor moveWithCells="1">
                  <from>
                    <xdr:col>8</xdr:col>
                    <xdr:colOff>219075</xdr:colOff>
                    <xdr:row>39</xdr:row>
                    <xdr:rowOff>133350</xdr:rowOff>
                  </from>
                  <to>
                    <xdr:col>9</xdr:col>
                    <xdr:colOff>152400</xdr:colOff>
                    <xdr:row>41</xdr:row>
                    <xdr:rowOff>28575</xdr:rowOff>
                  </to>
                </anchor>
              </controlPr>
            </control>
          </mc:Choice>
        </mc:AlternateContent>
        <mc:AlternateContent xmlns:mc="http://schemas.openxmlformats.org/markup-compatibility/2006">
          <mc:Choice Requires="x14">
            <control shapeId="1819681" r:id="rId37" name="Check Box 33">
              <controlPr locked="0" defaultSize="0" autoFill="0" autoLine="0" autoPict="0">
                <anchor moveWithCells="1">
                  <from>
                    <xdr:col>9</xdr:col>
                    <xdr:colOff>47625</xdr:colOff>
                    <xdr:row>39</xdr:row>
                    <xdr:rowOff>133350</xdr:rowOff>
                  </from>
                  <to>
                    <xdr:col>9</xdr:col>
                    <xdr:colOff>352425</xdr:colOff>
                    <xdr:row>41</xdr:row>
                    <xdr:rowOff>28575</xdr:rowOff>
                  </to>
                </anchor>
              </controlPr>
            </control>
          </mc:Choice>
        </mc:AlternateContent>
        <mc:AlternateContent xmlns:mc="http://schemas.openxmlformats.org/markup-compatibility/2006">
          <mc:Choice Requires="x14">
            <control shapeId="1819682" r:id="rId38" name="Check Box 34">
              <controlPr locked="0" defaultSize="0" autoFill="0" autoLine="0" autoPict="0">
                <anchor moveWithCells="1">
                  <from>
                    <xdr:col>9</xdr:col>
                    <xdr:colOff>247650</xdr:colOff>
                    <xdr:row>39</xdr:row>
                    <xdr:rowOff>133350</xdr:rowOff>
                  </from>
                  <to>
                    <xdr:col>10</xdr:col>
                    <xdr:colOff>180975</xdr:colOff>
                    <xdr:row>41</xdr:row>
                    <xdr:rowOff>28575</xdr:rowOff>
                  </to>
                </anchor>
              </controlPr>
            </control>
          </mc:Choice>
        </mc:AlternateContent>
        <mc:AlternateContent xmlns:mc="http://schemas.openxmlformats.org/markup-compatibility/2006">
          <mc:Choice Requires="x14">
            <control shapeId="1819683" r:id="rId39" name="Check Box 35">
              <controlPr locked="0" defaultSize="0" autoFill="0" autoLine="0" autoPict="0">
                <anchor moveWithCells="1">
                  <from>
                    <xdr:col>10</xdr:col>
                    <xdr:colOff>85725</xdr:colOff>
                    <xdr:row>39</xdr:row>
                    <xdr:rowOff>133350</xdr:rowOff>
                  </from>
                  <to>
                    <xdr:col>11</xdr:col>
                    <xdr:colOff>19050</xdr:colOff>
                    <xdr:row>41</xdr:row>
                    <xdr:rowOff>28575</xdr:rowOff>
                  </to>
                </anchor>
              </controlPr>
            </control>
          </mc:Choice>
        </mc:AlternateContent>
        <mc:AlternateContent xmlns:mc="http://schemas.openxmlformats.org/markup-compatibility/2006">
          <mc:Choice Requires="x14">
            <control shapeId="1819684" r:id="rId40" name="Check Box 36">
              <controlPr locked="0" defaultSize="0" autoFill="0" autoLine="0" autoPict="0">
                <anchor moveWithCells="1">
                  <from>
                    <xdr:col>10</xdr:col>
                    <xdr:colOff>285750</xdr:colOff>
                    <xdr:row>39</xdr:row>
                    <xdr:rowOff>133350</xdr:rowOff>
                  </from>
                  <to>
                    <xdr:col>11</xdr:col>
                    <xdr:colOff>219075</xdr:colOff>
                    <xdr:row>41</xdr:row>
                    <xdr:rowOff>28575</xdr:rowOff>
                  </to>
                </anchor>
              </controlPr>
            </control>
          </mc:Choice>
        </mc:AlternateContent>
        <mc:AlternateContent xmlns:mc="http://schemas.openxmlformats.org/markup-compatibility/2006">
          <mc:Choice Requires="x14">
            <control shapeId="1819685" r:id="rId41" name="Check Box 37">
              <controlPr locked="0" defaultSize="0" autoFill="0" autoLine="0" autoPict="0">
                <anchor moveWithCells="1">
                  <from>
                    <xdr:col>11</xdr:col>
                    <xdr:colOff>114300</xdr:colOff>
                    <xdr:row>39</xdr:row>
                    <xdr:rowOff>133350</xdr:rowOff>
                  </from>
                  <to>
                    <xdr:col>12</xdr:col>
                    <xdr:colOff>47625</xdr:colOff>
                    <xdr:row>41</xdr:row>
                    <xdr:rowOff>28575</xdr:rowOff>
                  </to>
                </anchor>
              </controlPr>
            </control>
          </mc:Choice>
        </mc:AlternateContent>
        <mc:AlternateContent xmlns:mc="http://schemas.openxmlformats.org/markup-compatibility/2006">
          <mc:Choice Requires="x14">
            <control shapeId="1819686" r:id="rId42" name="Check Box 38">
              <controlPr locked="0" defaultSize="0" autoFill="0" autoLine="0" autoPict="0">
                <anchor moveWithCells="1">
                  <from>
                    <xdr:col>11</xdr:col>
                    <xdr:colOff>323850</xdr:colOff>
                    <xdr:row>39</xdr:row>
                    <xdr:rowOff>133350</xdr:rowOff>
                  </from>
                  <to>
                    <xdr:col>12</xdr:col>
                    <xdr:colOff>257175</xdr:colOff>
                    <xdr:row>41</xdr:row>
                    <xdr:rowOff>28575</xdr:rowOff>
                  </to>
                </anchor>
              </controlPr>
            </control>
          </mc:Choice>
        </mc:AlternateContent>
        <mc:AlternateContent xmlns:mc="http://schemas.openxmlformats.org/markup-compatibility/2006">
          <mc:Choice Requires="x14">
            <control shapeId="1819687" r:id="rId43" name="Check Box 39">
              <controlPr locked="0" defaultSize="0" autoFill="0" autoLine="0" autoPict="0">
                <anchor moveWithCells="1">
                  <from>
                    <xdr:col>12</xdr:col>
                    <xdr:colOff>152400</xdr:colOff>
                    <xdr:row>39</xdr:row>
                    <xdr:rowOff>133350</xdr:rowOff>
                  </from>
                  <to>
                    <xdr:col>13</xdr:col>
                    <xdr:colOff>85725</xdr:colOff>
                    <xdr:row>41</xdr:row>
                    <xdr:rowOff>28575</xdr:rowOff>
                  </to>
                </anchor>
              </controlPr>
            </control>
          </mc:Choice>
        </mc:AlternateContent>
        <mc:AlternateContent xmlns:mc="http://schemas.openxmlformats.org/markup-compatibility/2006">
          <mc:Choice Requires="x14">
            <control shapeId="1819688" r:id="rId44" name="Check Box 40">
              <controlPr locked="0" defaultSize="0" autoFill="0" autoLine="0" autoPict="0">
                <anchor moveWithCells="1">
                  <from>
                    <xdr:col>12</xdr:col>
                    <xdr:colOff>342900</xdr:colOff>
                    <xdr:row>39</xdr:row>
                    <xdr:rowOff>133350</xdr:rowOff>
                  </from>
                  <to>
                    <xdr:col>13</xdr:col>
                    <xdr:colOff>276225</xdr:colOff>
                    <xdr:row>41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K55"/>
  <sheetViews>
    <sheetView showGridLines="0" showRowColHeaders="0" view="pageLayout" zoomScaleNormal="100" workbookViewId="0">
      <selection activeCell="A3" sqref="A3"/>
    </sheetView>
  </sheetViews>
  <sheetFormatPr defaultColWidth="0" defaultRowHeight="12.75"/>
  <cols>
    <col min="1" max="10" width="8.85546875" style="291" customWidth="1"/>
    <col min="11" max="11" width="0.85546875" style="291" customWidth="1"/>
    <col min="12" max="16384" width="9.140625" style="291" hidden="1"/>
  </cols>
  <sheetData>
    <row r="2" spans="1:10">
      <c r="B2" s="644"/>
      <c r="C2" s="644"/>
      <c r="D2" s="644"/>
      <c r="E2" s="644"/>
      <c r="F2" s="644"/>
      <c r="G2" s="644"/>
      <c r="H2" s="644"/>
      <c r="I2" s="644"/>
      <c r="J2" s="644"/>
    </row>
    <row r="3" spans="1:10">
      <c r="B3" s="644"/>
      <c r="C3" s="644"/>
      <c r="D3" s="644"/>
      <c r="E3" s="644"/>
      <c r="F3" s="644"/>
      <c r="G3" s="644"/>
      <c r="H3" s="644"/>
      <c r="I3" s="644"/>
      <c r="J3" s="644"/>
    </row>
    <row r="4" spans="1:10">
      <c r="A4" s="291" t="s">
        <v>813</v>
      </c>
      <c r="B4" s="644"/>
      <c r="C4" s="644"/>
      <c r="D4" s="644"/>
      <c r="E4" s="644"/>
      <c r="F4" s="644"/>
      <c r="G4" s="644"/>
      <c r="H4" s="644"/>
      <c r="I4" s="644"/>
      <c r="J4" s="644"/>
    </row>
    <row r="5" spans="1:10">
      <c r="A5" s="676"/>
      <c r="B5" s="677"/>
      <c r="C5" s="677"/>
      <c r="D5" s="677"/>
      <c r="E5" s="677"/>
      <c r="F5" s="677"/>
      <c r="G5" s="677"/>
      <c r="H5" s="677"/>
      <c r="I5" s="677"/>
      <c r="J5" s="678"/>
    </row>
    <row r="6" spans="1:10">
      <c r="A6" s="679"/>
      <c r="B6" s="680"/>
      <c r="C6" s="680"/>
      <c r="D6" s="680"/>
      <c r="E6" s="680"/>
      <c r="F6" s="680"/>
      <c r="G6" s="680"/>
      <c r="H6" s="680"/>
      <c r="I6" s="680"/>
      <c r="J6" s="681"/>
    </row>
    <row r="7" spans="1:10">
      <c r="A7" s="679"/>
      <c r="B7" s="680"/>
      <c r="C7" s="680"/>
      <c r="D7" s="680"/>
      <c r="E7" s="680"/>
      <c r="F7" s="680"/>
      <c r="G7" s="680"/>
      <c r="H7" s="680"/>
      <c r="I7" s="680"/>
      <c r="J7" s="681"/>
    </row>
    <row r="8" spans="1:10">
      <c r="A8" s="679"/>
      <c r="B8" s="680"/>
      <c r="C8" s="680"/>
      <c r="D8" s="680"/>
      <c r="E8" s="680"/>
      <c r="F8" s="680"/>
      <c r="G8" s="680"/>
      <c r="H8" s="680"/>
      <c r="I8" s="680"/>
      <c r="J8" s="681"/>
    </row>
    <row r="9" spans="1:10">
      <c r="A9" s="679"/>
      <c r="B9" s="680"/>
      <c r="C9" s="680"/>
      <c r="D9" s="680"/>
      <c r="E9" s="680"/>
      <c r="F9" s="680"/>
      <c r="G9" s="680"/>
      <c r="H9" s="680"/>
      <c r="I9" s="680"/>
      <c r="J9" s="681"/>
    </row>
    <row r="10" spans="1:10">
      <c r="A10" s="679"/>
      <c r="B10" s="680"/>
      <c r="C10" s="680"/>
      <c r="D10" s="680"/>
      <c r="E10" s="680"/>
      <c r="F10" s="680"/>
      <c r="G10" s="680"/>
      <c r="H10" s="680"/>
      <c r="I10" s="680"/>
      <c r="J10" s="681"/>
    </row>
    <row r="11" spans="1:10">
      <c r="A11" s="679"/>
      <c r="B11" s="680"/>
      <c r="C11" s="680"/>
      <c r="D11" s="680"/>
      <c r="E11" s="680"/>
      <c r="F11" s="680"/>
      <c r="G11" s="680"/>
      <c r="H11" s="680"/>
      <c r="I11" s="680"/>
      <c r="J11" s="681"/>
    </row>
    <row r="12" spans="1:10">
      <c r="A12" s="679"/>
      <c r="B12" s="680"/>
      <c r="C12" s="680"/>
      <c r="D12" s="680"/>
      <c r="E12" s="680"/>
      <c r="F12" s="680"/>
      <c r="G12" s="680"/>
      <c r="H12" s="680"/>
      <c r="I12" s="680"/>
      <c r="J12" s="681"/>
    </row>
    <row r="13" spans="1:10">
      <c r="A13" s="679"/>
      <c r="B13" s="680"/>
      <c r="C13" s="680"/>
      <c r="D13" s="680"/>
      <c r="E13" s="680"/>
      <c r="F13" s="680"/>
      <c r="G13" s="680"/>
      <c r="H13" s="680"/>
      <c r="I13" s="680"/>
      <c r="J13" s="681"/>
    </row>
    <row r="14" spans="1:10">
      <c r="A14" s="679"/>
      <c r="B14" s="680"/>
      <c r="C14" s="680"/>
      <c r="D14" s="680"/>
      <c r="E14" s="680"/>
      <c r="F14" s="680"/>
      <c r="G14" s="680"/>
      <c r="H14" s="680"/>
      <c r="I14" s="680"/>
      <c r="J14" s="681"/>
    </row>
    <row r="15" spans="1:10">
      <c r="A15" s="679"/>
      <c r="B15" s="680"/>
      <c r="C15" s="680"/>
      <c r="D15" s="680"/>
      <c r="E15" s="680"/>
      <c r="F15" s="680"/>
      <c r="G15" s="680"/>
      <c r="H15" s="680"/>
      <c r="I15" s="680"/>
      <c r="J15" s="681"/>
    </row>
    <row r="16" spans="1:10">
      <c r="A16" s="679"/>
      <c r="B16" s="680"/>
      <c r="C16" s="680"/>
      <c r="D16" s="680"/>
      <c r="E16" s="680"/>
      <c r="F16" s="680"/>
      <c r="G16" s="680"/>
      <c r="H16" s="680"/>
      <c r="I16" s="680"/>
      <c r="J16" s="681"/>
    </row>
    <row r="17" spans="1:10">
      <c r="A17" s="679"/>
      <c r="B17" s="680"/>
      <c r="C17" s="680"/>
      <c r="D17" s="680"/>
      <c r="E17" s="680"/>
      <c r="F17" s="680"/>
      <c r="G17" s="680"/>
      <c r="H17" s="680"/>
      <c r="I17" s="680"/>
      <c r="J17" s="681"/>
    </row>
    <row r="18" spans="1:10">
      <c r="A18" s="679"/>
      <c r="B18" s="680"/>
      <c r="C18" s="680"/>
      <c r="D18" s="680"/>
      <c r="E18" s="680"/>
      <c r="F18" s="680"/>
      <c r="G18" s="680"/>
      <c r="H18" s="680"/>
      <c r="I18" s="680"/>
      <c r="J18" s="681"/>
    </row>
    <row r="19" spans="1:10">
      <c r="A19" s="679"/>
      <c r="B19" s="680"/>
      <c r="C19" s="680"/>
      <c r="D19" s="680"/>
      <c r="E19" s="680"/>
      <c r="F19" s="680"/>
      <c r="G19" s="680"/>
      <c r="H19" s="680"/>
      <c r="I19" s="680"/>
      <c r="J19" s="681"/>
    </row>
    <row r="20" spans="1:10">
      <c r="A20" s="679"/>
      <c r="B20" s="680"/>
      <c r="C20" s="680"/>
      <c r="D20" s="680"/>
      <c r="E20" s="680"/>
      <c r="F20" s="680"/>
      <c r="G20" s="680"/>
      <c r="H20" s="680"/>
      <c r="I20" s="680"/>
      <c r="J20" s="681"/>
    </row>
    <row r="21" spans="1:10">
      <c r="A21" s="679"/>
      <c r="B21" s="680"/>
      <c r="C21" s="680"/>
      <c r="D21" s="680"/>
      <c r="E21" s="680"/>
      <c r="F21" s="680"/>
      <c r="G21" s="680"/>
      <c r="H21" s="680"/>
      <c r="I21" s="680"/>
      <c r="J21" s="681"/>
    </row>
    <row r="22" spans="1:10">
      <c r="A22" s="679"/>
      <c r="B22" s="680"/>
      <c r="C22" s="680"/>
      <c r="D22" s="680"/>
      <c r="E22" s="680"/>
      <c r="F22" s="680"/>
      <c r="G22" s="680"/>
      <c r="H22" s="680"/>
      <c r="I22" s="680"/>
      <c r="J22" s="681"/>
    </row>
    <row r="23" spans="1:10">
      <c r="A23" s="679"/>
      <c r="B23" s="680"/>
      <c r="C23" s="680"/>
      <c r="D23" s="680"/>
      <c r="E23" s="680"/>
      <c r="F23" s="680"/>
      <c r="G23" s="680"/>
      <c r="H23" s="680"/>
      <c r="I23" s="680"/>
      <c r="J23" s="681"/>
    </row>
    <row r="24" spans="1:10">
      <c r="A24" s="679"/>
      <c r="B24" s="680"/>
      <c r="C24" s="680"/>
      <c r="D24" s="680"/>
      <c r="E24" s="680"/>
      <c r="F24" s="680"/>
      <c r="G24" s="680"/>
      <c r="H24" s="680"/>
      <c r="I24" s="680"/>
      <c r="J24" s="681"/>
    </row>
    <row r="25" spans="1:10">
      <c r="A25" s="679"/>
      <c r="B25" s="680"/>
      <c r="C25" s="680"/>
      <c r="D25" s="680"/>
      <c r="E25" s="680"/>
      <c r="F25" s="680"/>
      <c r="G25" s="680"/>
      <c r="H25" s="680"/>
      <c r="I25" s="680"/>
      <c r="J25" s="681"/>
    </row>
    <row r="26" spans="1:10">
      <c r="A26" s="679"/>
      <c r="B26" s="680"/>
      <c r="C26" s="680"/>
      <c r="D26" s="680"/>
      <c r="E26" s="680"/>
      <c r="F26" s="680"/>
      <c r="G26" s="680"/>
      <c r="H26" s="680"/>
      <c r="I26" s="680"/>
      <c r="J26" s="681"/>
    </row>
    <row r="27" spans="1:10">
      <c r="A27" s="679"/>
      <c r="B27" s="680"/>
      <c r="C27" s="680"/>
      <c r="D27" s="680"/>
      <c r="E27" s="680"/>
      <c r="F27" s="680"/>
      <c r="G27" s="680"/>
      <c r="H27" s="680"/>
      <c r="I27" s="680"/>
      <c r="J27" s="681"/>
    </row>
    <row r="28" spans="1:10">
      <c r="A28" s="679"/>
      <c r="B28" s="680"/>
      <c r="C28" s="680"/>
      <c r="D28" s="680"/>
      <c r="E28" s="680"/>
      <c r="F28" s="680"/>
      <c r="G28" s="680"/>
      <c r="H28" s="680"/>
      <c r="I28" s="680"/>
      <c r="J28" s="681"/>
    </row>
    <row r="29" spans="1:10">
      <c r="A29" s="679"/>
      <c r="B29" s="680"/>
      <c r="C29" s="680"/>
      <c r="D29" s="680"/>
      <c r="E29" s="680"/>
      <c r="F29" s="680"/>
      <c r="G29" s="680"/>
      <c r="H29" s="680"/>
      <c r="I29" s="680"/>
      <c r="J29" s="681"/>
    </row>
    <row r="30" spans="1:10">
      <c r="A30" s="679"/>
      <c r="B30" s="680"/>
      <c r="C30" s="680"/>
      <c r="D30" s="680"/>
      <c r="E30" s="680"/>
      <c r="F30" s="680"/>
      <c r="G30" s="680"/>
      <c r="H30" s="680"/>
      <c r="I30" s="680"/>
      <c r="J30" s="681"/>
    </row>
    <row r="31" spans="1:10">
      <c r="A31" s="679"/>
      <c r="B31" s="680"/>
      <c r="C31" s="680"/>
      <c r="D31" s="680"/>
      <c r="E31" s="680"/>
      <c r="F31" s="680"/>
      <c r="G31" s="680"/>
      <c r="H31" s="680"/>
      <c r="I31" s="680"/>
      <c r="J31" s="681"/>
    </row>
    <row r="32" spans="1:10">
      <c r="A32" s="679"/>
      <c r="B32" s="680"/>
      <c r="C32" s="680"/>
      <c r="D32" s="680"/>
      <c r="E32" s="680"/>
      <c r="F32" s="680"/>
      <c r="G32" s="680"/>
      <c r="H32" s="680"/>
      <c r="I32" s="680"/>
      <c r="J32" s="681"/>
    </row>
    <row r="33" spans="1:10">
      <c r="A33" s="679"/>
      <c r="B33" s="680"/>
      <c r="C33" s="680"/>
      <c r="D33" s="680"/>
      <c r="E33" s="680"/>
      <c r="F33" s="680"/>
      <c r="G33" s="680"/>
      <c r="H33" s="680"/>
      <c r="I33" s="680"/>
      <c r="J33" s="681"/>
    </row>
    <row r="34" spans="1:10">
      <c r="A34" s="679"/>
      <c r="B34" s="680"/>
      <c r="C34" s="680"/>
      <c r="D34" s="680"/>
      <c r="E34" s="680"/>
      <c r="F34" s="680"/>
      <c r="G34" s="680"/>
      <c r="H34" s="680"/>
      <c r="I34" s="680"/>
      <c r="J34" s="681"/>
    </row>
    <row r="35" spans="1:10">
      <c r="A35" s="679"/>
      <c r="B35" s="680"/>
      <c r="C35" s="680"/>
      <c r="D35" s="680"/>
      <c r="E35" s="680"/>
      <c r="F35" s="680"/>
      <c r="G35" s="680"/>
      <c r="H35" s="680"/>
      <c r="I35" s="680"/>
      <c r="J35" s="681"/>
    </row>
    <row r="36" spans="1:10">
      <c r="A36" s="679"/>
      <c r="B36" s="680"/>
      <c r="C36" s="680"/>
      <c r="D36" s="680"/>
      <c r="E36" s="680"/>
      <c r="F36" s="680"/>
      <c r="G36" s="680"/>
      <c r="H36" s="680"/>
      <c r="I36" s="680"/>
      <c r="J36" s="681"/>
    </row>
    <row r="37" spans="1:10">
      <c r="A37" s="679"/>
      <c r="B37" s="680"/>
      <c r="C37" s="680"/>
      <c r="D37" s="680"/>
      <c r="E37" s="680"/>
      <c r="F37" s="680"/>
      <c r="G37" s="680"/>
      <c r="H37" s="680"/>
      <c r="I37" s="680"/>
      <c r="J37" s="681"/>
    </row>
    <row r="38" spans="1:10">
      <c r="A38" s="679"/>
      <c r="B38" s="680"/>
      <c r="C38" s="680"/>
      <c r="D38" s="680"/>
      <c r="E38" s="680"/>
      <c r="F38" s="680"/>
      <c r="G38" s="680"/>
      <c r="H38" s="680"/>
      <c r="I38" s="680"/>
      <c r="J38" s="681"/>
    </row>
    <row r="39" spans="1:10">
      <c r="A39" s="679"/>
      <c r="B39" s="680"/>
      <c r="C39" s="680"/>
      <c r="D39" s="680"/>
      <c r="E39" s="680"/>
      <c r="F39" s="680"/>
      <c r="G39" s="680"/>
      <c r="H39" s="680"/>
      <c r="I39" s="680"/>
      <c r="J39" s="681"/>
    </row>
    <row r="40" spans="1:10">
      <c r="A40" s="679"/>
      <c r="B40" s="680"/>
      <c r="C40" s="680"/>
      <c r="D40" s="680"/>
      <c r="E40" s="680"/>
      <c r="F40" s="680"/>
      <c r="G40" s="680"/>
      <c r="H40" s="680"/>
      <c r="I40" s="680"/>
      <c r="J40" s="681"/>
    </row>
    <row r="41" spans="1:10">
      <c r="A41" s="679"/>
      <c r="B41" s="680"/>
      <c r="C41" s="680"/>
      <c r="D41" s="680"/>
      <c r="E41" s="680"/>
      <c r="F41" s="680"/>
      <c r="G41" s="680"/>
      <c r="H41" s="680"/>
      <c r="I41" s="680"/>
      <c r="J41" s="681"/>
    </row>
    <row r="42" spans="1:10">
      <c r="A42" s="679"/>
      <c r="B42" s="680"/>
      <c r="C42" s="680"/>
      <c r="D42" s="680"/>
      <c r="E42" s="680"/>
      <c r="F42" s="680"/>
      <c r="G42" s="680"/>
      <c r="H42" s="680"/>
      <c r="I42" s="680"/>
      <c r="J42" s="681"/>
    </row>
    <row r="43" spans="1:10">
      <c r="A43" s="679"/>
      <c r="B43" s="680"/>
      <c r="C43" s="680"/>
      <c r="D43" s="680"/>
      <c r="E43" s="680"/>
      <c r="F43" s="680"/>
      <c r="G43" s="680"/>
      <c r="H43" s="680"/>
      <c r="I43" s="680"/>
      <c r="J43" s="681"/>
    </row>
    <row r="44" spans="1:10">
      <c r="A44" s="679"/>
      <c r="B44" s="680"/>
      <c r="C44" s="680"/>
      <c r="D44" s="680"/>
      <c r="E44" s="680"/>
      <c r="F44" s="680"/>
      <c r="G44" s="680"/>
      <c r="H44" s="680"/>
      <c r="I44" s="680"/>
      <c r="J44" s="681"/>
    </row>
    <row r="45" spans="1:10">
      <c r="A45" s="679"/>
      <c r="B45" s="680"/>
      <c r="C45" s="680"/>
      <c r="D45" s="680"/>
      <c r="E45" s="680"/>
      <c r="F45" s="680"/>
      <c r="G45" s="680"/>
      <c r="H45" s="680"/>
      <c r="I45" s="680"/>
      <c r="J45" s="681"/>
    </row>
    <row r="46" spans="1:10">
      <c r="A46" s="679"/>
      <c r="B46" s="680"/>
      <c r="C46" s="680"/>
      <c r="D46" s="680"/>
      <c r="E46" s="680"/>
      <c r="F46" s="680"/>
      <c r="G46" s="680"/>
      <c r="H46" s="680"/>
      <c r="I46" s="680"/>
      <c r="J46" s="681"/>
    </row>
    <row r="47" spans="1:10">
      <c r="A47" s="679"/>
      <c r="B47" s="680"/>
      <c r="C47" s="680"/>
      <c r="D47" s="680"/>
      <c r="E47" s="680"/>
      <c r="F47" s="680"/>
      <c r="G47" s="680"/>
      <c r="H47" s="680"/>
      <c r="I47" s="680"/>
      <c r="J47" s="681"/>
    </row>
    <row r="48" spans="1:10">
      <c r="A48" s="679"/>
      <c r="B48" s="680"/>
      <c r="C48" s="680"/>
      <c r="D48" s="680"/>
      <c r="E48" s="680"/>
      <c r="F48" s="680"/>
      <c r="G48" s="680"/>
      <c r="H48" s="680"/>
      <c r="I48" s="680"/>
      <c r="J48" s="681"/>
    </row>
    <row r="49" spans="1:10">
      <c r="A49" s="679"/>
      <c r="B49" s="680"/>
      <c r="C49" s="680"/>
      <c r="D49" s="680"/>
      <c r="E49" s="680"/>
      <c r="F49" s="680"/>
      <c r="G49" s="680"/>
      <c r="H49" s="680"/>
      <c r="I49" s="680"/>
      <c r="J49" s="681"/>
    </row>
    <row r="50" spans="1:10">
      <c r="A50" s="679"/>
      <c r="B50" s="680"/>
      <c r="C50" s="680"/>
      <c r="D50" s="680"/>
      <c r="E50" s="680"/>
      <c r="F50" s="680"/>
      <c r="G50" s="680"/>
      <c r="H50" s="680"/>
      <c r="I50" s="680"/>
      <c r="J50" s="681"/>
    </row>
    <row r="51" spans="1:10">
      <c r="A51" s="679"/>
      <c r="B51" s="680"/>
      <c r="C51" s="680"/>
      <c r="D51" s="680"/>
      <c r="E51" s="680"/>
      <c r="F51" s="680"/>
      <c r="G51" s="680"/>
      <c r="H51" s="680"/>
      <c r="I51" s="680"/>
      <c r="J51" s="681"/>
    </row>
    <row r="52" spans="1:10">
      <c r="A52" s="679"/>
      <c r="B52" s="680"/>
      <c r="C52" s="680"/>
      <c r="D52" s="680"/>
      <c r="E52" s="680"/>
      <c r="F52" s="680"/>
      <c r="G52" s="680"/>
      <c r="H52" s="680"/>
      <c r="I52" s="680"/>
      <c r="J52" s="681"/>
    </row>
    <row r="53" spans="1:10">
      <c r="A53" s="682"/>
      <c r="B53" s="683"/>
      <c r="C53" s="683"/>
      <c r="D53" s="683"/>
      <c r="E53" s="683"/>
      <c r="F53" s="683"/>
      <c r="G53" s="683"/>
      <c r="H53" s="683"/>
      <c r="I53" s="683"/>
      <c r="J53" s="684"/>
    </row>
    <row r="54" spans="1:10">
      <c r="A54" s="644"/>
      <c r="B54" s="644"/>
      <c r="C54" s="644"/>
      <c r="D54" s="644"/>
      <c r="E54" s="644"/>
      <c r="F54" s="644"/>
      <c r="G54" s="644"/>
      <c r="H54" s="644"/>
      <c r="I54" s="644"/>
      <c r="J54" s="644"/>
    </row>
    <row r="55" spans="1:10">
      <c r="A55" s="644"/>
      <c r="B55" s="644"/>
      <c r="C55" s="644"/>
      <c r="D55" s="644"/>
      <c r="E55" s="644"/>
      <c r="F55" s="644"/>
      <c r="G55" s="644"/>
      <c r="H55" s="644"/>
      <c r="I55" s="644"/>
      <c r="J55" s="644"/>
    </row>
  </sheetData>
  <mergeCells count="1">
    <mergeCell ref="A5:J53"/>
  </mergeCells>
  <pageMargins left="0.45" right="0.45" top="1.15625" bottom="0.5" header="0.55000000000000004" footer="0.3"/>
  <pageSetup orientation="portrait" r:id="rId1"/>
  <headerFooter>
    <oddHeader>&amp;L&amp;G&amp;C&amp;"Arial,Bold"&amp;14DESIGN RECORDS</oddHeader>
    <oddFooter>&amp;C&amp;F</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C705F-B538-4247-B02A-9DA7752F8A19}">
  <dimension ref="A4:J46"/>
  <sheetViews>
    <sheetView showGridLines="0" view="pageLayout" zoomScaleNormal="100" workbookViewId="0">
      <selection activeCell="A3" sqref="A3:XFD3"/>
    </sheetView>
  </sheetViews>
  <sheetFormatPr defaultColWidth="0" defaultRowHeight="12.75"/>
  <cols>
    <col min="1" max="1" width="11.28515625" style="328" customWidth="1"/>
    <col min="2" max="2" width="9.28515625" style="291" customWidth="1"/>
    <col min="3" max="8" width="9.42578125" style="291" customWidth="1"/>
    <col min="9" max="9" width="10" style="291" customWidth="1"/>
    <col min="10" max="10" width="0.7109375" style="291" customWidth="1"/>
    <col min="11" max="16384" width="9.140625" style="291" hidden="1"/>
  </cols>
  <sheetData>
    <row r="4" spans="1:9">
      <c r="A4" s="337" t="s">
        <v>310</v>
      </c>
      <c r="B4" s="311"/>
      <c r="C4" s="311"/>
      <c r="D4" s="313"/>
      <c r="E4" s="338" t="s">
        <v>309</v>
      </c>
      <c r="F4" s="311"/>
      <c r="G4" s="311"/>
      <c r="H4" s="311"/>
      <c r="I4" s="313"/>
    </row>
    <row r="5" spans="1:9">
      <c r="A5" s="685">
        <f>[1]INTRO!C6</f>
        <v>0</v>
      </c>
      <c r="B5" s="661"/>
      <c r="C5" s="661"/>
      <c r="D5" s="686"/>
      <c r="E5" s="685">
        <f>[1]INTRO!C5</f>
        <v>0</v>
      </c>
      <c r="F5" s="661"/>
      <c r="G5" s="661"/>
      <c r="H5" s="661"/>
      <c r="I5" s="686"/>
    </row>
    <row r="7" spans="1:9">
      <c r="A7" s="340" t="s">
        <v>622</v>
      </c>
      <c r="B7" s="690" t="s">
        <v>951</v>
      </c>
      <c r="C7" s="691"/>
      <c r="D7" s="692"/>
      <c r="E7" s="690" t="s">
        <v>623</v>
      </c>
      <c r="F7" s="691"/>
      <c r="G7" s="691"/>
      <c r="H7" s="691"/>
      <c r="I7" s="692"/>
    </row>
    <row r="8" spans="1:9">
      <c r="A8" s="340"/>
      <c r="B8" s="687"/>
      <c r="C8" s="688"/>
      <c r="D8" s="689"/>
      <c r="E8" s="361"/>
      <c r="F8" s="335"/>
      <c r="G8" s="335"/>
      <c r="H8" s="335"/>
      <c r="I8" s="476"/>
    </row>
    <row r="9" spans="1:9">
      <c r="A9" s="340"/>
      <c r="B9" s="687"/>
      <c r="C9" s="688"/>
      <c r="D9" s="689"/>
      <c r="E9" s="361"/>
      <c r="F9" s="335"/>
      <c r="G9" s="335"/>
      <c r="H9" s="335"/>
      <c r="I9" s="476"/>
    </row>
    <row r="10" spans="1:9">
      <c r="A10" s="340"/>
      <c r="B10" s="687"/>
      <c r="C10" s="688"/>
      <c r="D10" s="689"/>
      <c r="E10" s="361"/>
      <c r="F10" s="335"/>
      <c r="G10" s="335"/>
      <c r="H10" s="335"/>
      <c r="I10" s="476"/>
    </row>
    <row r="11" spans="1:9">
      <c r="A11" s="340"/>
      <c r="B11" s="687"/>
      <c r="C11" s="688"/>
      <c r="D11" s="689"/>
      <c r="E11" s="361"/>
      <c r="F11" s="335"/>
      <c r="G11" s="335"/>
      <c r="H11" s="335"/>
      <c r="I11" s="476"/>
    </row>
    <row r="12" spans="1:9">
      <c r="A12" s="340"/>
      <c r="B12" s="687"/>
      <c r="C12" s="688"/>
      <c r="D12" s="689"/>
      <c r="E12" s="361"/>
      <c r="F12" s="335"/>
      <c r="G12" s="335"/>
      <c r="H12" s="335"/>
      <c r="I12" s="476"/>
    </row>
    <row r="13" spans="1:9">
      <c r="A13" s="340"/>
      <c r="B13" s="687"/>
      <c r="C13" s="688"/>
      <c r="D13" s="689"/>
      <c r="E13" s="361"/>
      <c r="F13" s="335"/>
      <c r="G13" s="335"/>
      <c r="H13" s="335"/>
      <c r="I13" s="476"/>
    </row>
    <row r="14" spans="1:9">
      <c r="A14" s="340"/>
      <c r="B14" s="687"/>
      <c r="C14" s="688"/>
      <c r="D14" s="689"/>
      <c r="E14" s="361"/>
      <c r="F14" s="335"/>
      <c r="G14" s="335"/>
      <c r="H14" s="335"/>
      <c r="I14" s="476"/>
    </row>
    <row r="15" spans="1:9">
      <c r="A15" s="340"/>
      <c r="B15" s="687"/>
      <c r="C15" s="688"/>
      <c r="D15" s="689"/>
      <c r="E15" s="361"/>
      <c r="F15" s="335"/>
      <c r="G15" s="335"/>
      <c r="H15" s="335"/>
      <c r="I15" s="476"/>
    </row>
    <row r="16" spans="1:9">
      <c r="A16" s="340"/>
      <c r="B16" s="687"/>
      <c r="C16" s="688"/>
      <c r="D16" s="689"/>
      <c r="E16" s="361"/>
      <c r="F16" s="335"/>
      <c r="G16" s="335"/>
      <c r="H16" s="335"/>
      <c r="I16" s="476"/>
    </row>
    <row r="17" spans="1:9">
      <c r="A17" s="340"/>
      <c r="B17" s="687"/>
      <c r="C17" s="688"/>
      <c r="D17" s="689"/>
      <c r="E17" s="361"/>
      <c r="F17" s="335"/>
      <c r="G17" s="335"/>
      <c r="H17" s="335"/>
      <c r="I17" s="476"/>
    </row>
    <row r="18" spans="1:9">
      <c r="A18" s="340"/>
      <c r="B18" s="687"/>
      <c r="C18" s="688"/>
      <c r="D18" s="689"/>
      <c r="E18" s="361"/>
      <c r="F18" s="335"/>
      <c r="G18" s="335"/>
      <c r="H18" s="335"/>
      <c r="I18" s="476"/>
    </row>
    <row r="19" spans="1:9">
      <c r="A19" s="340"/>
      <c r="B19" s="687"/>
      <c r="C19" s="688"/>
      <c r="D19" s="689"/>
      <c r="E19" s="361"/>
      <c r="F19" s="335"/>
      <c r="G19" s="335"/>
      <c r="H19" s="335"/>
      <c r="I19" s="476"/>
    </row>
    <row r="20" spans="1:9">
      <c r="A20" s="340"/>
      <c r="B20" s="687"/>
      <c r="C20" s="688"/>
      <c r="D20" s="689"/>
      <c r="E20" s="361"/>
      <c r="F20" s="335"/>
      <c r="G20" s="335"/>
      <c r="H20" s="335"/>
      <c r="I20" s="476"/>
    </row>
    <row r="21" spans="1:9">
      <c r="A21" s="340"/>
      <c r="B21" s="687"/>
      <c r="C21" s="688"/>
      <c r="D21" s="689"/>
      <c r="E21" s="361"/>
      <c r="F21" s="335"/>
      <c r="G21" s="335"/>
      <c r="H21" s="335"/>
      <c r="I21" s="476"/>
    </row>
    <row r="22" spans="1:9">
      <c r="A22" s="340"/>
      <c r="B22" s="687"/>
      <c r="C22" s="688"/>
      <c r="D22" s="689"/>
      <c r="E22" s="361"/>
      <c r="F22" s="335"/>
      <c r="G22" s="335"/>
      <c r="H22" s="335"/>
      <c r="I22" s="476"/>
    </row>
    <row r="23" spans="1:9">
      <c r="A23" s="340"/>
      <c r="B23" s="687"/>
      <c r="C23" s="688"/>
      <c r="D23" s="689"/>
      <c r="E23" s="361"/>
      <c r="F23" s="335"/>
      <c r="G23" s="335"/>
      <c r="H23" s="335"/>
      <c r="I23" s="476"/>
    </row>
    <row r="24" spans="1:9">
      <c r="A24" s="340"/>
      <c r="B24" s="687"/>
      <c r="C24" s="688"/>
      <c r="D24" s="689"/>
      <c r="E24" s="361"/>
      <c r="F24" s="335"/>
      <c r="G24" s="335"/>
      <c r="H24" s="335"/>
      <c r="I24" s="476"/>
    </row>
    <row r="25" spans="1:9">
      <c r="A25" s="340"/>
      <c r="B25" s="687"/>
      <c r="C25" s="688"/>
      <c r="D25" s="689"/>
      <c r="E25" s="361"/>
      <c r="F25" s="335"/>
      <c r="G25" s="335"/>
      <c r="H25" s="335"/>
      <c r="I25" s="476"/>
    </row>
    <row r="26" spans="1:9">
      <c r="A26" s="340"/>
      <c r="B26" s="687"/>
      <c r="C26" s="688"/>
      <c r="D26" s="689"/>
      <c r="E26" s="361"/>
      <c r="F26" s="335"/>
      <c r="G26" s="335"/>
      <c r="H26" s="335"/>
      <c r="I26" s="476"/>
    </row>
    <row r="27" spans="1:9">
      <c r="A27" s="340"/>
      <c r="B27" s="687"/>
      <c r="C27" s="688"/>
      <c r="D27" s="689"/>
      <c r="E27" s="361"/>
      <c r="F27" s="335"/>
      <c r="G27" s="335"/>
      <c r="H27" s="335"/>
      <c r="I27" s="476"/>
    </row>
    <row r="28" spans="1:9">
      <c r="A28" s="340"/>
      <c r="B28" s="687"/>
      <c r="C28" s="688"/>
      <c r="D28" s="689"/>
      <c r="E28" s="361"/>
      <c r="F28" s="335"/>
      <c r="G28" s="335"/>
      <c r="H28" s="335"/>
      <c r="I28" s="476"/>
    </row>
    <row r="29" spans="1:9">
      <c r="A29" s="340"/>
      <c r="B29" s="687"/>
      <c r="C29" s="688"/>
      <c r="D29" s="689"/>
      <c r="E29" s="361"/>
      <c r="F29" s="335"/>
      <c r="G29" s="335"/>
      <c r="H29" s="335"/>
      <c r="I29" s="476"/>
    </row>
    <row r="30" spans="1:9">
      <c r="A30" s="340"/>
      <c r="B30" s="687"/>
      <c r="C30" s="688"/>
      <c r="D30" s="689"/>
      <c r="E30" s="361"/>
      <c r="F30" s="335"/>
      <c r="G30" s="335"/>
      <c r="H30" s="335"/>
      <c r="I30" s="476"/>
    </row>
    <row r="31" spans="1:9">
      <c r="A31" s="340"/>
      <c r="B31" s="687"/>
      <c r="C31" s="688"/>
      <c r="D31" s="689"/>
      <c r="E31" s="361"/>
      <c r="F31" s="335"/>
      <c r="G31" s="335"/>
      <c r="H31" s="335"/>
      <c r="I31" s="476"/>
    </row>
    <row r="32" spans="1:9">
      <c r="A32" s="340"/>
      <c r="B32" s="687"/>
      <c r="C32" s="688"/>
      <c r="D32" s="689"/>
      <c r="E32" s="361"/>
      <c r="F32" s="335"/>
      <c r="G32" s="335"/>
      <c r="H32" s="335"/>
      <c r="I32" s="476"/>
    </row>
    <row r="33" spans="1:9">
      <c r="A33" s="340"/>
      <c r="B33" s="687"/>
      <c r="C33" s="688"/>
      <c r="D33" s="689"/>
      <c r="E33" s="361"/>
      <c r="F33" s="335"/>
      <c r="G33" s="335"/>
      <c r="H33" s="335"/>
      <c r="I33" s="476"/>
    </row>
    <row r="34" spans="1:9">
      <c r="A34" s="340"/>
      <c r="B34" s="687"/>
      <c r="C34" s="688"/>
      <c r="D34" s="689"/>
      <c r="E34" s="361"/>
      <c r="F34" s="335"/>
      <c r="G34" s="335"/>
      <c r="H34" s="335"/>
      <c r="I34" s="476"/>
    </row>
    <row r="35" spans="1:9">
      <c r="A35" s="340"/>
      <c r="B35" s="687"/>
      <c r="C35" s="688"/>
      <c r="D35" s="689"/>
      <c r="E35" s="361"/>
      <c r="F35" s="335"/>
      <c r="G35" s="335"/>
      <c r="H35" s="335"/>
      <c r="I35" s="476"/>
    </row>
    <row r="36" spans="1:9">
      <c r="A36" s="340"/>
      <c r="B36" s="687"/>
      <c r="C36" s="688"/>
      <c r="D36" s="689"/>
      <c r="E36" s="361"/>
      <c r="F36" s="335"/>
      <c r="G36" s="335"/>
      <c r="H36" s="335"/>
      <c r="I36" s="476"/>
    </row>
    <row r="37" spans="1:9">
      <c r="A37" s="340"/>
      <c r="B37" s="687"/>
      <c r="C37" s="688"/>
      <c r="D37" s="689"/>
      <c r="E37" s="361"/>
      <c r="F37" s="335"/>
      <c r="G37" s="335"/>
      <c r="H37" s="335"/>
      <c r="I37" s="476"/>
    </row>
    <row r="38" spans="1:9">
      <c r="A38" s="340"/>
      <c r="B38" s="687"/>
      <c r="C38" s="688"/>
      <c r="D38" s="689"/>
      <c r="E38" s="361"/>
      <c r="F38" s="335"/>
      <c r="G38" s="335"/>
      <c r="H38" s="335"/>
      <c r="I38" s="476"/>
    </row>
    <row r="39" spans="1:9">
      <c r="A39" s="340"/>
      <c r="B39" s="687"/>
      <c r="C39" s="688"/>
      <c r="D39" s="689"/>
      <c r="E39" s="361"/>
      <c r="F39" s="335"/>
      <c r="G39" s="335"/>
      <c r="H39" s="335"/>
      <c r="I39" s="476"/>
    </row>
    <row r="40" spans="1:9">
      <c r="A40" s="340"/>
      <c r="B40" s="687"/>
      <c r="C40" s="688"/>
      <c r="D40" s="689"/>
      <c r="E40" s="361"/>
      <c r="F40" s="335"/>
      <c r="G40" s="335"/>
      <c r="H40" s="335"/>
      <c r="I40" s="476"/>
    </row>
    <row r="41" spans="1:9">
      <c r="A41" s="340"/>
      <c r="B41" s="687"/>
      <c r="C41" s="688"/>
      <c r="D41" s="689"/>
      <c r="E41" s="361"/>
      <c r="F41" s="335"/>
      <c r="G41" s="335"/>
      <c r="H41" s="335"/>
      <c r="I41" s="476"/>
    </row>
    <row r="42" spans="1:9">
      <c r="A42" s="340"/>
      <c r="B42" s="687"/>
      <c r="C42" s="688"/>
      <c r="D42" s="689"/>
      <c r="E42" s="361"/>
      <c r="F42" s="335"/>
      <c r="G42" s="335"/>
      <c r="H42" s="335"/>
      <c r="I42" s="476"/>
    </row>
    <row r="43" spans="1:9">
      <c r="A43" s="340"/>
      <c r="B43" s="687"/>
      <c r="C43" s="688"/>
      <c r="D43" s="689"/>
      <c r="E43" s="361"/>
      <c r="F43" s="335"/>
      <c r="G43" s="335"/>
      <c r="H43" s="335"/>
      <c r="I43" s="476"/>
    </row>
    <row r="44" spans="1:9">
      <c r="A44" s="340"/>
      <c r="B44" s="687"/>
      <c r="C44" s="688"/>
      <c r="D44" s="689"/>
      <c r="E44" s="361"/>
      <c r="F44" s="335"/>
      <c r="G44" s="335"/>
      <c r="H44" s="335"/>
      <c r="I44" s="476"/>
    </row>
    <row r="45" spans="1:9">
      <c r="A45" s="340"/>
      <c r="B45" s="687"/>
      <c r="C45" s="688"/>
      <c r="D45" s="689"/>
      <c r="E45" s="361"/>
      <c r="F45" s="335"/>
      <c r="G45" s="335"/>
      <c r="H45" s="335"/>
      <c r="I45" s="476"/>
    </row>
    <row r="46" spans="1:9">
      <c r="A46" s="340"/>
      <c r="B46" s="687"/>
      <c r="C46" s="688"/>
      <c r="D46" s="689"/>
      <c r="E46" s="361"/>
      <c r="F46" s="335"/>
      <c r="G46" s="335"/>
      <c r="H46" s="335"/>
      <c r="I46" s="476"/>
    </row>
  </sheetData>
  <mergeCells count="43">
    <mergeCell ref="B44:D44"/>
    <mergeCell ref="B45:D45"/>
    <mergeCell ref="B46:D46"/>
    <mergeCell ref="B32:D32"/>
    <mergeCell ref="B33:D33"/>
    <mergeCell ref="B34:D34"/>
    <mergeCell ref="B35:D35"/>
    <mergeCell ref="B36:D36"/>
    <mergeCell ref="B37:D37"/>
    <mergeCell ref="B40:D40"/>
    <mergeCell ref="B41:D41"/>
    <mergeCell ref="B42:D42"/>
    <mergeCell ref="B43:D43"/>
    <mergeCell ref="B38:D38"/>
    <mergeCell ref="B39:D39"/>
    <mergeCell ref="B31:D31"/>
    <mergeCell ref="B26:D26"/>
    <mergeCell ref="B27:D27"/>
    <mergeCell ref="B25:D25"/>
    <mergeCell ref="B8:D8"/>
    <mergeCell ref="B9:D9"/>
    <mergeCell ref="B10:D10"/>
    <mergeCell ref="B11:D11"/>
    <mergeCell ref="B12:D12"/>
    <mergeCell ref="B13:D13"/>
    <mergeCell ref="B16:D16"/>
    <mergeCell ref="B17:D17"/>
    <mergeCell ref="B18:D18"/>
    <mergeCell ref="B19:D19"/>
    <mergeCell ref="B14:D14"/>
    <mergeCell ref="B15:D15"/>
    <mergeCell ref="A5:D5"/>
    <mergeCell ref="E5:I5"/>
    <mergeCell ref="B28:D28"/>
    <mergeCell ref="B29:D29"/>
    <mergeCell ref="B30:D30"/>
    <mergeCell ref="B7:D7"/>
    <mergeCell ref="E7:I7"/>
    <mergeCell ref="B20:D20"/>
    <mergeCell ref="B21:D21"/>
    <mergeCell ref="B22:D22"/>
    <mergeCell ref="B23:D23"/>
    <mergeCell ref="B24:D24"/>
  </mergeCells>
  <dataValidations disablePrompts="1" count="1">
    <dataValidation type="list" allowBlank="1" showInputMessage="1" showErrorMessage="1" sqref="B8:B46" xr:uid="{03AC9E1A-E238-4F00-8904-F0E96BBAF857}">
      <formula1>"Authorized ECN,Approved PPCN,Approved UAI/rework disposition,Approved pre-launch/trial production,Other"</formula1>
    </dataValidation>
  </dataValidations>
  <printOptions horizontalCentered="1"/>
  <pageMargins left="0.75" right="0.75" top="1" bottom="1" header="0.5" footer="0.5"/>
  <pageSetup orientation="portrait" horizontalDpi="300" r:id="rId1"/>
  <headerFooter>
    <oddHeader>&amp;L&amp;G&amp;C&amp;"Arial,Bold"&amp;14AUTHORIZED ENGINEERING
CHANGE DOCUMENTS</oddHeader>
    <oddFooter>&amp;C&amp;F</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pageSetUpPr fitToPage="1"/>
  </sheetPr>
  <dimension ref="A2:K55"/>
  <sheetViews>
    <sheetView showGridLines="0" showRowColHeaders="0" view="pageLayout" zoomScale="160" zoomScaleNormal="100" zoomScalePageLayoutView="160" workbookViewId="0">
      <selection activeCell="A2" sqref="A2"/>
    </sheetView>
  </sheetViews>
  <sheetFormatPr defaultColWidth="0" defaultRowHeight="12.75"/>
  <cols>
    <col min="1" max="10" width="8.85546875" style="291" customWidth="1"/>
    <col min="11" max="11" width="0.85546875" style="291" customWidth="1"/>
    <col min="12" max="16384" width="9.140625" style="291" hidden="1"/>
  </cols>
  <sheetData>
    <row r="2" spans="1:10">
      <c r="B2" s="644"/>
      <c r="C2" s="644"/>
      <c r="D2" s="644"/>
      <c r="E2" s="644"/>
      <c r="F2" s="644"/>
      <c r="G2" s="644"/>
      <c r="H2" s="644"/>
      <c r="I2" s="644"/>
      <c r="J2" s="644"/>
    </row>
    <row r="3" spans="1:10">
      <c r="B3" s="644"/>
      <c r="C3" s="644"/>
      <c r="D3" s="644"/>
      <c r="E3" s="644"/>
      <c r="F3" s="644"/>
      <c r="G3" s="644"/>
      <c r="H3" s="644"/>
      <c r="I3" s="644"/>
      <c r="J3" s="644"/>
    </row>
    <row r="4" spans="1:10">
      <c r="A4" s="291" t="s">
        <v>945</v>
      </c>
      <c r="B4" s="644"/>
      <c r="C4" s="644"/>
      <c r="D4" s="644"/>
      <c r="E4" s="644"/>
      <c r="F4" s="644"/>
      <c r="G4" s="644"/>
      <c r="H4" s="644"/>
      <c r="I4" s="644"/>
      <c r="J4" s="644"/>
    </row>
    <row r="5" spans="1:10">
      <c r="A5" s="676"/>
      <c r="B5" s="677"/>
      <c r="C5" s="677"/>
      <c r="D5" s="677"/>
      <c r="E5" s="677"/>
      <c r="F5" s="677"/>
      <c r="G5" s="677"/>
      <c r="H5" s="677"/>
      <c r="I5" s="678"/>
      <c r="J5" s="644"/>
    </row>
    <row r="6" spans="1:10">
      <c r="A6" s="679"/>
      <c r="B6" s="680"/>
      <c r="C6" s="680"/>
      <c r="D6" s="680"/>
      <c r="E6" s="680"/>
      <c r="F6" s="680"/>
      <c r="G6" s="680"/>
      <c r="H6" s="680"/>
      <c r="I6" s="681"/>
      <c r="J6" s="644"/>
    </row>
    <row r="7" spans="1:10">
      <c r="A7" s="679"/>
      <c r="B7" s="680"/>
      <c r="C7" s="680"/>
      <c r="D7" s="680"/>
      <c r="E7" s="680"/>
      <c r="F7" s="680"/>
      <c r="G7" s="680"/>
      <c r="H7" s="680"/>
      <c r="I7" s="681"/>
      <c r="J7" s="644"/>
    </row>
    <row r="8" spans="1:10">
      <c r="A8" s="679"/>
      <c r="B8" s="680"/>
      <c r="C8" s="680"/>
      <c r="D8" s="680"/>
      <c r="E8" s="680"/>
      <c r="F8" s="680"/>
      <c r="G8" s="680"/>
      <c r="H8" s="680"/>
      <c r="I8" s="681"/>
      <c r="J8" s="644"/>
    </row>
    <row r="9" spans="1:10">
      <c r="A9" s="679"/>
      <c r="B9" s="680"/>
      <c r="C9" s="680"/>
      <c r="D9" s="680"/>
      <c r="E9" s="680"/>
      <c r="F9" s="680"/>
      <c r="G9" s="680"/>
      <c r="H9" s="680"/>
      <c r="I9" s="681"/>
      <c r="J9" s="644"/>
    </row>
    <row r="10" spans="1:10">
      <c r="A10" s="679"/>
      <c r="B10" s="680"/>
      <c r="C10" s="680"/>
      <c r="D10" s="680"/>
      <c r="E10" s="680"/>
      <c r="F10" s="680"/>
      <c r="G10" s="680"/>
      <c r="H10" s="680"/>
      <c r="I10" s="681"/>
      <c r="J10" s="644"/>
    </row>
    <row r="11" spans="1:10">
      <c r="A11" s="679"/>
      <c r="B11" s="680"/>
      <c r="C11" s="680"/>
      <c r="D11" s="680"/>
      <c r="E11" s="680"/>
      <c r="F11" s="680"/>
      <c r="G11" s="680"/>
      <c r="H11" s="680"/>
      <c r="I11" s="681"/>
      <c r="J11" s="644"/>
    </row>
    <row r="12" spans="1:10">
      <c r="A12" s="679"/>
      <c r="B12" s="680"/>
      <c r="C12" s="680"/>
      <c r="D12" s="680"/>
      <c r="E12" s="680"/>
      <c r="F12" s="680"/>
      <c r="G12" s="680"/>
      <c r="H12" s="680"/>
      <c r="I12" s="681"/>
      <c r="J12" s="644"/>
    </row>
    <row r="13" spans="1:10">
      <c r="A13" s="679"/>
      <c r="B13" s="680"/>
      <c r="C13" s="680"/>
      <c r="D13" s="680"/>
      <c r="E13" s="680"/>
      <c r="F13" s="680"/>
      <c r="G13" s="680"/>
      <c r="H13" s="680"/>
      <c r="I13" s="681"/>
      <c r="J13" s="644"/>
    </row>
    <row r="14" spans="1:10">
      <c r="A14" s="679"/>
      <c r="B14" s="680"/>
      <c r="C14" s="680"/>
      <c r="D14" s="680"/>
      <c r="E14" s="680"/>
      <c r="F14" s="680"/>
      <c r="G14" s="680"/>
      <c r="H14" s="680"/>
      <c r="I14" s="681"/>
      <c r="J14" s="644"/>
    </row>
    <row r="15" spans="1:10">
      <c r="A15" s="679"/>
      <c r="B15" s="680"/>
      <c r="C15" s="680"/>
      <c r="D15" s="680"/>
      <c r="E15" s="680"/>
      <c r="F15" s="680"/>
      <c r="G15" s="680"/>
      <c r="H15" s="680"/>
      <c r="I15" s="681"/>
      <c r="J15" s="644"/>
    </row>
    <row r="16" spans="1:10">
      <c r="A16" s="679"/>
      <c r="B16" s="680"/>
      <c r="C16" s="680"/>
      <c r="D16" s="680"/>
      <c r="E16" s="680"/>
      <c r="F16" s="680"/>
      <c r="G16" s="680"/>
      <c r="H16" s="680"/>
      <c r="I16" s="681"/>
      <c r="J16" s="644"/>
    </row>
    <row r="17" spans="1:10">
      <c r="A17" s="679"/>
      <c r="B17" s="680"/>
      <c r="C17" s="680"/>
      <c r="D17" s="680"/>
      <c r="E17" s="680"/>
      <c r="F17" s="680"/>
      <c r="G17" s="680"/>
      <c r="H17" s="680"/>
      <c r="I17" s="681"/>
      <c r="J17" s="644"/>
    </row>
    <row r="18" spans="1:10">
      <c r="A18" s="679"/>
      <c r="B18" s="680"/>
      <c r="C18" s="680"/>
      <c r="D18" s="680"/>
      <c r="E18" s="680"/>
      <c r="F18" s="680"/>
      <c r="G18" s="680"/>
      <c r="H18" s="680"/>
      <c r="I18" s="681"/>
      <c r="J18" s="644"/>
    </row>
    <row r="19" spans="1:10">
      <c r="A19" s="679"/>
      <c r="B19" s="680"/>
      <c r="C19" s="680"/>
      <c r="D19" s="680"/>
      <c r="E19" s="680"/>
      <c r="F19" s="680"/>
      <c r="G19" s="680"/>
      <c r="H19" s="680"/>
      <c r="I19" s="681"/>
      <c r="J19" s="644"/>
    </row>
    <row r="20" spans="1:10">
      <c r="A20" s="679"/>
      <c r="B20" s="680"/>
      <c r="C20" s="680"/>
      <c r="D20" s="680"/>
      <c r="E20" s="680"/>
      <c r="F20" s="680"/>
      <c r="G20" s="680"/>
      <c r="H20" s="680"/>
      <c r="I20" s="681"/>
      <c r="J20" s="644"/>
    </row>
    <row r="21" spans="1:10">
      <c r="A21" s="679"/>
      <c r="B21" s="680"/>
      <c r="C21" s="680"/>
      <c r="D21" s="680"/>
      <c r="E21" s="680"/>
      <c r="F21" s="680"/>
      <c r="G21" s="680"/>
      <c r="H21" s="680"/>
      <c r="I21" s="681"/>
      <c r="J21" s="644"/>
    </row>
    <row r="22" spans="1:10">
      <c r="A22" s="679"/>
      <c r="B22" s="680"/>
      <c r="C22" s="680"/>
      <c r="D22" s="680"/>
      <c r="E22" s="680"/>
      <c r="F22" s="680"/>
      <c r="G22" s="680"/>
      <c r="H22" s="680"/>
      <c r="I22" s="681"/>
      <c r="J22" s="644"/>
    </row>
    <row r="23" spans="1:10">
      <c r="A23" s="679"/>
      <c r="B23" s="680"/>
      <c r="C23" s="680"/>
      <c r="D23" s="680"/>
      <c r="E23" s="680"/>
      <c r="F23" s="680"/>
      <c r="G23" s="680"/>
      <c r="H23" s="680"/>
      <c r="I23" s="681"/>
      <c r="J23" s="644"/>
    </row>
    <row r="24" spans="1:10">
      <c r="A24" s="679"/>
      <c r="B24" s="680"/>
      <c r="C24" s="680"/>
      <c r="D24" s="680"/>
      <c r="E24" s="680"/>
      <c r="F24" s="680"/>
      <c r="G24" s="680"/>
      <c r="H24" s="680"/>
      <c r="I24" s="681"/>
      <c r="J24" s="644"/>
    </row>
    <row r="25" spans="1:10">
      <c r="A25" s="679"/>
      <c r="B25" s="680"/>
      <c r="C25" s="680"/>
      <c r="D25" s="680"/>
      <c r="E25" s="680"/>
      <c r="F25" s="680"/>
      <c r="G25" s="680"/>
      <c r="H25" s="680"/>
      <c r="I25" s="681"/>
      <c r="J25" s="644"/>
    </row>
    <row r="26" spans="1:10">
      <c r="A26" s="679"/>
      <c r="B26" s="680"/>
      <c r="C26" s="680"/>
      <c r="D26" s="680"/>
      <c r="E26" s="680"/>
      <c r="F26" s="680"/>
      <c r="G26" s="680"/>
      <c r="H26" s="680"/>
      <c r="I26" s="681"/>
      <c r="J26" s="644"/>
    </row>
    <row r="27" spans="1:10">
      <c r="A27" s="679"/>
      <c r="B27" s="680"/>
      <c r="C27" s="680"/>
      <c r="D27" s="680"/>
      <c r="E27" s="680"/>
      <c r="F27" s="680"/>
      <c r="G27" s="680"/>
      <c r="H27" s="680"/>
      <c r="I27" s="681"/>
      <c r="J27" s="644"/>
    </row>
    <row r="28" spans="1:10">
      <c r="A28" s="679"/>
      <c r="B28" s="680"/>
      <c r="C28" s="680"/>
      <c r="D28" s="680"/>
      <c r="E28" s="680"/>
      <c r="F28" s="680"/>
      <c r="G28" s="680"/>
      <c r="H28" s="680"/>
      <c r="I28" s="681"/>
      <c r="J28" s="644"/>
    </row>
    <row r="29" spans="1:10">
      <c r="A29" s="679"/>
      <c r="B29" s="680"/>
      <c r="C29" s="680"/>
      <c r="D29" s="680"/>
      <c r="E29" s="680"/>
      <c r="F29" s="680"/>
      <c r="G29" s="680"/>
      <c r="H29" s="680"/>
      <c r="I29" s="681"/>
      <c r="J29" s="644"/>
    </row>
    <row r="30" spans="1:10">
      <c r="A30" s="679"/>
      <c r="B30" s="680"/>
      <c r="C30" s="680"/>
      <c r="D30" s="680"/>
      <c r="E30" s="680"/>
      <c r="F30" s="680"/>
      <c r="G30" s="680"/>
      <c r="H30" s="680"/>
      <c r="I30" s="681"/>
      <c r="J30" s="644"/>
    </row>
    <row r="31" spans="1:10">
      <c r="A31" s="679"/>
      <c r="B31" s="680"/>
      <c r="C31" s="680"/>
      <c r="D31" s="680"/>
      <c r="E31" s="680"/>
      <c r="F31" s="680"/>
      <c r="G31" s="680"/>
      <c r="H31" s="680"/>
      <c r="I31" s="681"/>
      <c r="J31" s="644"/>
    </row>
    <row r="32" spans="1:10">
      <c r="A32" s="679"/>
      <c r="B32" s="680"/>
      <c r="C32" s="680"/>
      <c r="D32" s="680"/>
      <c r="E32" s="680"/>
      <c r="F32" s="680"/>
      <c r="G32" s="680"/>
      <c r="H32" s="680"/>
      <c r="I32" s="681"/>
      <c r="J32" s="644"/>
    </row>
    <row r="33" spans="1:10">
      <c r="A33" s="679"/>
      <c r="B33" s="680"/>
      <c r="C33" s="680"/>
      <c r="D33" s="680"/>
      <c r="E33" s="680"/>
      <c r="F33" s="680"/>
      <c r="G33" s="680"/>
      <c r="H33" s="680"/>
      <c r="I33" s="681"/>
      <c r="J33" s="644"/>
    </row>
    <row r="34" spans="1:10">
      <c r="A34" s="679"/>
      <c r="B34" s="680"/>
      <c r="C34" s="680"/>
      <c r="D34" s="680"/>
      <c r="E34" s="680"/>
      <c r="F34" s="680"/>
      <c r="G34" s="680"/>
      <c r="H34" s="680"/>
      <c r="I34" s="681"/>
      <c r="J34" s="644"/>
    </row>
    <row r="35" spans="1:10">
      <c r="A35" s="679"/>
      <c r="B35" s="680"/>
      <c r="C35" s="680"/>
      <c r="D35" s="680"/>
      <c r="E35" s="680"/>
      <c r="F35" s="680"/>
      <c r="G35" s="680"/>
      <c r="H35" s="680"/>
      <c r="I35" s="681"/>
      <c r="J35" s="644"/>
    </row>
    <row r="36" spans="1:10">
      <c r="A36" s="679"/>
      <c r="B36" s="680"/>
      <c r="C36" s="680"/>
      <c r="D36" s="680"/>
      <c r="E36" s="680"/>
      <c r="F36" s="680"/>
      <c r="G36" s="680"/>
      <c r="H36" s="680"/>
      <c r="I36" s="681"/>
      <c r="J36" s="644"/>
    </row>
    <row r="37" spans="1:10">
      <c r="A37" s="679"/>
      <c r="B37" s="680"/>
      <c r="C37" s="680"/>
      <c r="D37" s="680"/>
      <c r="E37" s="680"/>
      <c r="F37" s="680"/>
      <c r="G37" s="680"/>
      <c r="H37" s="680"/>
      <c r="I37" s="681"/>
      <c r="J37" s="644"/>
    </row>
    <row r="38" spans="1:10">
      <c r="A38" s="679"/>
      <c r="B38" s="680"/>
      <c r="C38" s="680"/>
      <c r="D38" s="680"/>
      <c r="E38" s="680"/>
      <c r="F38" s="680"/>
      <c r="G38" s="680"/>
      <c r="H38" s="680"/>
      <c r="I38" s="681"/>
      <c r="J38" s="644"/>
    </row>
    <row r="39" spans="1:10">
      <c r="A39" s="679"/>
      <c r="B39" s="680"/>
      <c r="C39" s="680"/>
      <c r="D39" s="680"/>
      <c r="E39" s="680"/>
      <c r="F39" s="680"/>
      <c r="G39" s="680"/>
      <c r="H39" s="680"/>
      <c r="I39" s="681"/>
      <c r="J39" s="644"/>
    </row>
    <row r="40" spans="1:10">
      <c r="A40" s="679"/>
      <c r="B40" s="680"/>
      <c r="C40" s="680"/>
      <c r="D40" s="680"/>
      <c r="E40" s="680"/>
      <c r="F40" s="680"/>
      <c r="G40" s="680"/>
      <c r="H40" s="680"/>
      <c r="I40" s="681"/>
      <c r="J40" s="644"/>
    </row>
    <row r="41" spans="1:10">
      <c r="A41" s="679"/>
      <c r="B41" s="680"/>
      <c r="C41" s="680"/>
      <c r="D41" s="680"/>
      <c r="E41" s="680"/>
      <c r="F41" s="680"/>
      <c r="G41" s="680"/>
      <c r="H41" s="680"/>
      <c r="I41" s="681"/>
      <c r="J41" s="644"/>
    </row>
    <row r="42" spans="1:10">
      <c r="A42" s="679"/>
      <c r="B42" s="680"/>
      <c r="C42" s="680"/>
      <c r="D42" s="680"/>
      <c r="E42" s="680"/>
      <c r="F42" s="680"/>
      <c r="G42" s="680"/>
      <c r="H42" s="680"/>
      <c r="I42" s="681"/>
      <c r="J42" s="644"/>
    </row>
    <row r="43" spans="1:10">
      <c r="A43" s="679"/>
      <c r="B43" s="680"/>
      <c r="C43" s="680"/>
      <c r="D43" s="680"/>
      <c r="E43" s="680"/>
      <c r="F43" s="680"/>
      <c r="G43" s="680"/>
      <c r="H43" s="680"/>
      <c r="I43" s="681"/>
      <c r="J43" s="644"/>
    </row>
    <row r="44" spans="1:10">
      <c r="A44" s="679"/>
      <c r="B44" s="680"/>
      <c r="C44" s="680"/>
      <c r="D44" s="680"/>
      <c r="E44" s="680"/>
      <c r="F44" s="680"/>
      <c r="G44" s="680"/>
      <c r="H44" s="680"/>
      <c r="I44" s="681"/>
      <c r="J44" s="644"/>
    </row>
    <row r="45" spans="1:10">
      <c r="A45" s="679"/>
      <c r="B45" s="680"/>
      <c r="C45" s="680"/>
      <c r="D45" s="680"/>
      <c r="E45" s="680"/>
      <c r="F45" s="680"/>
      <c r="G45" s="680"/>
      <c r="H45" s="680"/>
      <c r="I45" s="681"/>
      <c r="J45" s="644"/>
    </row>
    <row r="46" spans="1:10">
      <c r="A46" s="679"/>
      <c r="B46" s="680"/>
      <c r="C46" s="680"/>
      <c r="D46" s="680"/>
      <c r="E46" s="680"/>
      <c r="F46" s="680"/>
      <c r="G46" s="680"/>
      <c r="H46" s="680"/>
      <c r="I46" s="681"/>
      <c r="J46" s="644"/>
    </row>
    <row r="47" spans="1:10">
      <c r="A47" s="679"/>
      <c r="B47" s="680"/>
      <c r="C47" s="680"/>
      <c r="D47" s="680"/>
      <c r="E47" s="680"/>
      <c r="F47" s="680"/>
      <c r="G47" s="680"/>
      <c r="H47" s="680"/>
      <c r="I47" s="681"/>
      <c r="J47" s="644"/>
    </row>
    <row r="48" spans="1:10">
      <c r="A48" s="679"/>
      <c r="B48" s="680"/>
      <c r="C48" s="680"/>
      <c r="D48" s="680"/>
      <c r="E48" s="680"/>
      <c r="F48" s="680"/>
      <c r="G48" s="680"/>
      <c r="H48" s="680"/>
      <c r="I48" s="681"/>
      <c r="J48" s="644"/>
    </row>
    <row r="49" spans="1:10">
      <c r="A49" s="679"/>
      <c r="B49" s="680"/>
      <c r="C49" s="680"/>
      <c r="D49" s="680"/>
      <c r="E49" s="680"/>
      <c r="F49" s="680"/>
      <c r="G49" s="680"/>
      <c r="H49" s="680"/>
      <c r="I49" s="681"/>
      <c r="J49" s="644"/>
    </row>
    <row r="50" spans="1:10">
      <c r="A50" s="679"/>
      <c r="B50" s="680"/>
      <c r="C50" s="680"/>
      <c r="D50" s="680"/>
      <c r="E50" s="680"/>
      <c r="F50" s="680"/>
      <c r="G50" s="680"/>
      <c r="H50" s="680"/>
      <c r="I50" s="681"/>
      <c r="J50" s="644"/>
    </row>
    <row r="51" spans="1:10">
      <c r="A51" s="679"/>
      <c r="B51" s="680"/>
      <c r="C51" s="680"/>
      <c r="D51" s="680"/>
      <c r="E51" s="680"/>
      <c r="F51" s="680"/>
      <c r="G51" s="680"/>
      <c r="H51" s="680"/>
      <c r="I51" s="681"/>
      <c r="J51" s="644"/>
    </row>
    <row r="52" spans="1:10">
      <c r="A52" s="679"/>
      <c r="B52" s="680"/>
      <c r="C52" s="680"/>
      <c r="D52" s="680"/>
      <c r="E52" s="680"/>
      <c r="F52" s="680"/>
      <c r="G52" s="680"/>
      <c r="H52" s="680"/>
      <c r="I52" s="681"/>
      <c r="J52" s="644"/>
    </row>
    <row r="53" spans="1:10">
      <c r="A53" s="679"/>
      <c r="B53" s="680"/>
      <c r="C53" s="680"/>
      <c r="D53" s="680"/>
      <c r="E53" s="680"/>
      <c r="F53" s="680"/>
      <c r="G53" s="680"/>
      <c r="H53" s="680"/>
      <c r="I53" s="681"/>
      <c r="J53" s="644"/>
    </row>
    <row r="54" spans="1:10">
      <c r="A54" s="682"/>
      <c r="B54" s="683"/>
      <c r="C54" s="683"/>
      <c r="D54" s="683"/>
      <c r="E54" s="683"/>
      <c r="F54" s="683"/>
      <c r="G54" s="683"/>
      <c r="H54" s="683"/>
      <c r="I54" s="684"/>
      <c r="J54" s="644"/>
    </row>
    <row r="55" spans="1:10">
      <c r="A55" s="644"/>
      <c r="B55" s="644"/>
      <c r="C55" s="644"/>
      <c r="D55" s="644"/>
      <c r="E55" s="644"/>
      <c r="F55" s="644"/>
      <c r="G55" s="644"/>
      <c r="H55" s="644"/>
      <c r="I55" s="644"/>
      <c r="J55" s="644"/>
    </row>
  </sheetData>
  <mergeCells count="1">
    <mergeCell ref="A5:I54"/>
  </mergeCells>
  <pageMargins left="0.7" right="0.7" top="0.94444444400000005" bottom="0.26388888900000002" header="0.3" footer="0.3"/>
  <pageSetup fitToWidth="0" orientation="portrait" r:id="rId1"/>
  <headerFooter>
    <oddHeader>&amp;L&amp;G&amp;C&amp;"Arial,Bold"&amp;14Hexagon Agility Engineering Approval</oddHeader>
    <oddFooter>&amp;C&amp;F</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T42"/>
  <sheetViews>
    <sheetView showGridLines="0" showRowColHeaders="0" view="pageLayout" zoomScaleNormal="100" workbookViewId="0"/>
  </sheetViews>
  <sheetFormatPr defaultColWidth="0" defaultRowHeight="12.75"/>
  <cols>
    <col min="1" max="1" width="10.7109375" style="291" customWidth="1"/>
    <col min="2" max="4" width="13.42578125" style="291" customWidth="1"/>
    <col min="5" max="5" width="3.5703125" style="328" customWidth="1"/>
    <col min="6" max="6" width="4.28515625" style="328" customWidth="1"/>
    <col min="7" max="7" width="13.42578125" style="291" customWidth="1"/>
    <col min="8" max="8" width="13.140625" style="328" customWidth="1"/>
    <col min="9" max="9" width="4" style="328" customWidth="1"/>
    <col min="10" max="10" width="12.5703125" style="291" customWidth="1"/>
    <col min="11" max="11" width="3.28515625" style="328" customWidth="1"/>
    <col min="12" max="12" width="4.140625" style="328" customWidth="1"/>
    <col min="13" max="13" width="13.42578125" style="291" customWidth="1"/>
    <col min="14" max="14" width="10.5703125" style="291" customWidth="1"/>
    <col min="15" max="15" width="13.42578125" style="291" customWidth="1"/>
    <col min="16" max="18" width="3.42578125" style="328" customWidth="1"/>
    <col min="19" max="19" width="3.85546875" style="328" customWidth="1"/>
    <col min="20" max="20" width="0.7109375" style="291" customWidth="1"/>
    <col min="21" max="16384" width="9.140625" style="291" hidden="1"/>
  </cols>
  <sheetData>
    <row r="1" spans="1:19" ht="19.5" customHeight="1">
      <c r="A1" s="325"/>
      <c r="B1" s="291" t="s">
        <v>646</v>
      </c>
      <c r="G1" s="715"/>
      <c r="H1" s="715"/>
      <c r="I1" s="715"/>
      <c r="J1" s="715"/>
      <c r="K1" s="715"/>
      <c r="L1" s="715"/>
      <c r="N1" s="330" t="s">
        <v>636</v>
      </c>
      <c r="O1" s="662"/>
      <c r="P1" s="662"/>
      <c r="Q1" s="662"/>
      <c r="R1" s="662"/>
    </row>
    <row r="2" spans="1:19" ht="7.5" customHeight="1">
      <c r="A2" s="345"/>
      <c r="G2" s="715"/>
      <c r="H2" s="715"/>
      <c r="I2" s="715"/>
      <c r="J2" s="715"/>
      <c r="K2" s="715"/>
      <c r="L2" s="715"/>
      <c r="P2" s="291"/>
    </row>
    <row r="3" spans="1:19">
      <c r="A3" s="325"/>
      <c r="B3" s="291" t="s">
        <v>647</v>
      </c>
      <c r="F3" s="291"/>
      <c r="G3" s="715"/>
      <c r="H3" s="715"/>
      <c r="I3" s="715"/>
      <c r="J3" s="715"/>
      <c r="K3" s="715"/>
      <c r="L3" s="715"/>
      <c r="N3" s="330" t="s">
        <v>637</v>
      </c>
      <c r="O3" s="672"/>
      <c r="P3" s="672"/>
      <c r="Q3" s="672"/>
      <c r="R3" s="672"/>
    </row>
    <row r="4" spans="1:19" ht="6.75" customHeight="1">
      <c r="A4" s="345"/>
      <c r="G4" s="715"/>
      <c r="H4" s="715"/>
      <c r="I4" s="715"/>
      <c r="J4" s="715"/>
      <c r="K4" s="715"/>
      <c r="L4" s="715"/>
      <c r="P4" s="291"/>
    </row>
    <row r="5" spans="1:19">
      <c r="A5" s="325"/>
      <c r="B5" s="328" t="s">
        <v>197</v>
      </c>
      <c r="C5" s="662"/>
      <c r="D5" s="662"/>
      <c r="E5" s="662"/>
      <c r="G5" s="330" t="s">
        <v>198</v>
      </c>
      <c r="H5" s="662"/>
      <c r="I5" s="662"/>
      <c r="J5" s="662"/>
      <c r="K5" s="662"/>
      <c r="L5" s="662"/>
      <c r="N5" s="330" t="s">
        <v>249</v>
      </c>
      <c r="O5" s="705"/>
      <c r="P5" s="705"/>
      <c r="Q5" s="705"/>
      <c r="R5" s="705"/>
    </row>
    <row r="6" spans="1:19" ht="6.75" customHeight="1">
      <c r="H6" s="312"/>
      <c r="I6" s="312"/>
      <c r="J6" s="312"/>
      <c r="K6" s="312"/>
      <c r="L6" s="312"/>
      <c r="N6" s="330"/>
      <c r="P6" s="291"/>
    </row>
    <row r="7" spans="1:19">
      <c r="A7" s="291" t="s">
        <v>578</v>
      </c>
      <c r="C7" s="662"/>
      <c r="D7" s="662"/>
      <c r="E7" s="662"/>
      <c r="G7" s="291" t="s">
        <v>633</v>
      </c>
      <c r="H7" s="672"/>
      <c r="I7" s="672"/>
      <c r="J7" s="672"/>
      <c r="K7" s="672"/>
      <c r="L7" s="672"/>
      <c r="N7" s="330" t="s">
        <v>250</v>
      </c>
      <c r="O7" s="705"/>
      <c r="P7" s="705"/>
      <c r="Q7" s="705"/>
      <c r="R7" s="705"/>
    </row>
    <row r="8" spans="1:19" ht="6.75" customHeight="1">
      <c r="I8" s="291"/>
    </row>
    <row r="9" spans="1:19">
      <c r="A9" s="291" t="s">
        <v>648</v>
      </c>
      <c r="B9" s="662"/>
      <c r="C9" s="662"/>
      <c r="D9" s="662"/>
      <c r="E9" s="662"/>
      <c r="F9" s="662"/>
      <c r="G9" s="662"/>
      <c r="H9" s="662"/>
      <c r="I9" s="662"/>
      <c r="J9" s="662"/>
      <c r="K9" s="662"/>
      <c r="L9" s="662"/>
      <c r="M9" s="662"/>
      <c r="N9" s="662"/>
      <c r="O9" s="662"/>
      <c r="P9" s="662"/>
      <c r="Q9" s="662"/>
      <c r="R9" s="662"/>
    </row>
    <row r="10" spans="1:19" ht="8.25" customHeight="1"/>
    <row r="11" spans="1:19" ht="12.75" customHeight="1">
      <c r="A11" s="709" t="s">
        <v>199</v>
      </c>
      <c r="B11" s="693" t="s">
        <v>404</v>
      </c>
      <c r="C11" s="693" t="s">
        <v>568</v>
      </c>
      <c r="D11" s="693" t="s">
        <v>567</v>
      </c>
      <c r="E11" s="712" t="s">
        <v>405</v>
      </c>
      <c r="F11" s="706" t="s">
        <v>406</v>
      </c>
      <c r="G11" s="693" t="s">
        <v>407</v>
      </c>
      <c r="H11" s="696" t="s">
        <v>247</v>
      </c>
      <c r="I11" s="697" t="s">
        <v>408</v>
      </c>
      <c r="J11" s="696" t="s">
        <v>248</v>
      </c>
      <c r="K11" s="697" t="s">
        <v>409</v>
      </c>
      <c r="L11" s="697" t="s">
        <v>410</v>
      </c>
      <c r="M11" s="693" t="s">
        <v>570</v>
      </c>
      <c r="N11" s="693" t="s">
        <v>571</v>
      </c>
      <c r="O11" s="700" t="s">
        <v>642</v>
      </c>
      <c r="P11" s="701"/>
      <c r="Q11" s="701"/>
      <c r="R11" s="701"/>
      <c r="S11" s="702"/>
    </row>
    <row r="12" spans="1:19">
      <c r="A12" s="710"/>
      <c r="B12" s="694"/>
      <c r="C12" s="694"/>
      <c r="D12" s="694"/>
      <c r="E12" s="713"/>
      <c r="F12" s="707"/>
      <c r="G12" s="694"/>
      <c r="H12" s="694"/>
      <c r="I12" s="698"/>
      <c r="J12" s="694"/>
      <c r="K12" s="698"/>
      <c r="L12" s="698"/>
      <c r="M12" s="694"/>
      <c r="N12" s="694"/>
      <c r="O12" s="703" t="s">
        <v>246</v>
      </c>
      <c r="P12" s="704" t="s">
        <v>405</v>
      </c>
      <c r="Q12" s="704" t="s">
        <v>408</v>
      </c>
      <c r="R12" s="704" t="s">
        <v>409</v>
      </c>
      <c r="S12" s="704" t="s">
        <v>410</v>
      </c>
    </row>
    <row r="13" spans="1:19">
      <c r="A13" s="710"/>
      <c r="B13" s="694"/>
      <c r="C13" s="694"/>
      <c r="D13" s="694"/>
      <c r="E13" s="713"/>
      <c r="F13" s="707"/>
      <c r="G13" s="694"/>
      <c r="H13" s="694"/>
      <c r="I13" s="698"/>
      <c r="J13" s="694"/>
      <c r="K13" s="698"/>
      <c r="L13" s="698"/>
      <c r="M13" s="694"/>
      <c r="N13" s="694"/>
      <c r="O13" s="703"/>
      <c r="P13" s="704"/>
      <c r="Q13" s="704"/>
      <c r="R13" s="704"/>
      <c r="S13" s="704"/>
    </row>
    <row r="14" spans="1:19">
      <c r="A14" s="710"/>
      <c r="B14" s="694"/>
      <c r="C14" s="694"/>
      <c r="D14" s="694"/>
      <c r="E14" s="713"/>
      <c r="F14" s="707"/>
      <c r="G14" s="694"/>
      <c r="H14" s="694"/>
      <c r="I14" s="698"/>
      <c r="J14" s="694"/>
      <c r="K14" s="698"/>
      <c r="L14" s="698"/>
      <c r="M14" s="694"/>
      <c r="N14" s="694"/>
      <c r="O14" s="703"/>
      <c r="P14" s="704"/>
      <c r="Q14" s="704"/>
      <c r="R14" s="704"/>
      <c r="S14" s="704"/>
    </row>
    <row r="15" spans="1:19">
      <c r="A15" s="711"/>
      <c r="B15" s="695"/>
      <c r="C15" s="695"/>
      <c r="D15" s="695"/>
      <c r="E15" s="714"/>
      <c r="F15" s="708"/>
      <c r="G15" s="695"/>
      <c r="H15" s="695"/>
      <c r="I15" s="699"/>
      <c r="J15" s="695"/>
      <c r="K15" s="699"/>
      <c r="L15" s="699"/>
      <c r="M15" s="695"/>
      <c r="N15" s="695"/>
      <c r="O15" s="703"/>
      <c r="P15" s="704"/>
      <c r="Q15" s="704"/>
      <c r="R15" s="704"/>
      <c r="S15" s="704"/>
    </row>
    <row r="16" spans="1:19">
      <c r="A16" s="347"/>
      <c r="B16" s="347"/>
      <c r="C16" s="347"/>
      <c r="D16" s="347"/>
      <c r="E16" s="348"/>
      <c r="F16" s="348"/>
      <c r="G16" s="347"/>
      <c r="H16" s="348"/>
      <c r="I16" s="348"/>
      <c r="J16" s="347"/>
      <c r="K16" s="348"/>
      <c r="L16" s="349" t="str">
        <f>IF(E16&lt;&gt;"",E16*I16*K16,"")</f>
        <v/>
      </c>
      <c r="M16" s="347" t="str">
        <f>IF(E16&lt;&gt;"","None","")</f>
        <v/>
      </c>
      <c r="N16" s="347"/>
      <c r="O16" s="347"/>
      <c r="P16" s="348"/>
      <c r="Q16" s="348"/>
      <c r="R16" s="348"/>
      <c r="S16" s="350" t="str">
        <f>IF(P16&lt;&gt;"",P16*Q16*R16,"")</f>
        <v/>
      </c>
    </row>
    <row r="17" spans="1:19">
      <c r="A17" s="347"/>
      <c r="B17" s="347"/>
      <c r="C17" s="347"/>
      <c r="D17" s="347"/>
      <c r="E17" s="348"/>
      <c r="F17" s="348"/>
      <c r="G17" s="347"/>
      <c r="H17" s="348"/>
      <c r="I17" s="348"/>
      <c r="J17" s="347"/>
      <c r="K17" s="348"/>
      <c r="L17" s="350" t="str">
        <f t="shared" ref="L17:L42" si="0">IF(E17&lt;&gt;"",E17*I17*K17,"")</f>
        <v/>
      </c>
      <c r="M17" s="347" t="str">
        <f t="shared" ref="M17:M42" si="1">IF(E17&lt;&gt;"","None","")</f>
        <v/>
      </c>
      <c r="N17" s="347"/>
      <c r="O17" s="347"/>
      <c r="P17" s="348"/>
      <c r="Q17" s="348"/>
      <c r="R17" s="348"/>
      <c r="S17" s="350" t="str">
        <f t="shared" ref="S17:S38" si="2">IF(P17&lt;&gt;"",P17*Q17*R17,"")</f>
        <v/>
      </c>
    </row>
    <row r="18" spans="1:19">
      <c r="A18" s="347"/>
      <c r="B18" s="347"/>
      <c r="C18" s="347"/>
      <c r="D18" s="347"/>
      <c r="E18" s="348"/>
      <c r="F18" s="348"/>
      <c r="G18" s="347"/>
      <c r="H18" s="348"/>
      <c r="I18" s="348"/>
      <c r="J18" s="347"/>
      <c r="K18" s="348"/>
      <c r="L18" s="350" t="str">
        <f t="shared" si="0"/>
        <v/>
      </c>
      <c r="M18" s="347" t="str">
        <f t="shared" si="1"/>
        <v/>
      </c>
      <c r="N18" s="347"/>
      <c r="O18" s="347"/>
      <c r="P18" s="348"/>
      <c r="Q18" s="348"/>
      <c r="R18" s="348"/>
      <c r="S18" s="350" t="str">
        <f t="shared" si="2"/>
        <v/>
      </c>
    </row>
    <row r="19" spans="1:19">
      <c r="A19" s="347"/>
      <c r="B19" s="347"/>
      <c r="C19" s="347"/>
      <c r="D19" s="347"/>
      <c r="E19" s="348"/>
      <c r="F19" s="348"/>
      <c r="G19" s="347"/>
      <c r="H19" s="348"/>
      <c r="I19" s="348"/>
      <c r="J19" s="347"/>
      <c r="K19" s="348"/>
      <c r="L19" s="350" t="str">
        <f t="shared" si="0"/>
        <v/>
      </c>
      <c r="M19" s="347" t="str">
        <f t="shared" si="1"/>
        <v/>
      </c>
      <c r="N19" s="347"/>
      <c r="O19" s="347"/>
      <c r="P19" s="348"/>
      <c r="Q19" s="348"/>
      <c r="R19" s="348"/>
      <c r="S19" s="350" t="str">
        <f t="shared" si="2"/>
        <v/>
      </c>
    </row>
    <row r="20" spans="1:19">
      <c r="A20" s="347"/>
      <c r="B20" s="347"/>
      <c r="C20" s="347"/>
      <c r="D20" s="347"/>
      <c r="E20" s="348"/>
      <c r="F20" s="348"/>
      <c r="G20" s="347"/>
      <c r="H20" s="348"/>
      <c r="I20" s="348"/>
      <c r="J20" s="347"/>
      <c r="K20" s="348"/>
      <c r="L20" s="350" t="str">
        <f t="shared" si="0"/>
        <v/>
      </c>
      <c r="M20" s="347" t="str">
        <f t="shared" si="1"/>
        <v/>
      </c>
      <c r="N20" s="347"/>
      <c r="O20" s="347"/>
      <c r="P20" s="348"/>
      <c r="Q20" s="348"/>
      <c r="R20" s="348"/>
      <c r="S20" s="350" t="str">
        <f t="shared" si="2"/>
        <v/>
      </c>
    </row>
    <row r="21" spans="1:19">
      <c r="A21" s="347"/>
      <c r="B21" s="347"/>
      <c r="C21" s="347"/>
      <c r="D21" s="347"/>
      <c r="E21" s="348"/>
      <c r="F21" s="348"/>
      <c r="G21" s="347"/>
      <c r="H21" s="348"/>
      <c r="I21" s="348"/>
      <c r="J21" s="347"/>
      <c r="K21" s="348"/>
      <c r="L21" s="350" t="str">
        <f t="shared" si="0"/>
        <v/>
      </c>
      <c r="M21" s="347" t="str">
        <f t="shared" si="1"/>
        <v/>
      </c>
      <c r="N21" s="347"/>
      <c r="O21" s="347"/>
      <c r="P21" s="348"/>
      <c r="Q21" s="348"/>
      <c r="R21" s="348"/>
      <c r="S21" s="350" t="str">
        <f t="shared" si="2"/>
        <v/>
      </c>
    </row>
    <row r="22" spans="1:19">
      <c r="A22" s="347"/>
      <c r="B22" s="347"/>
      <c r="C22" s="347"/>
      <c r="D22" s="347"/>
      <c r="E22" s="348"/>
      <c r="F22" s="348"/>
      <c r="G22" s="347"/>
      <c r="H22" s="348"/>
      <c r="I22" s="348"/>
      <c r="J22" s="347"/>
      <c r="K22" s="348"/>
      <c r="L22" s="350" t="str">
        <f t="shared" si="0"/>
        <v/>
      </c>
      <c r="M22" s="347" t="str">
        <f t="shared" si="1"/>
        <v/>
      </c>
      <c r="N22" s="347"/>
      <c r="O22" s="347"/>
      <c r="P22" s="348"/>
      <c r="Q22" s="348"/>
      <c r="R22" s="348"/>
      <c r="S22" s="350" t="str">
        <f t="shared" si="2"/>
        <v/>
      </c>
    </row>
    <row r="23" spans="1:19">
      <c r="A23" s="347"/>
      <c r="B23" s="347"/>
      <c r="C23" s="347"/>
      <c r="D23" s="347"/>
      <c r="E23" s="348"/>
      <c r="F23" s="348"/>
      <c r="G23" s="347"/>
      <c r="H23" s="348"/>
      <c r="I23" s="348"/>
      <c r="J23" s="347"/>
      <c r="K23" s="348"/>
      <c r="L23" s="350" t="str">
        <f t="shared" si="0"/>
        <v/>
      </c>
      <c r="M23" s="347" t="str">
        <f t="shared" si="1"/>
        <v/>
      </c>
      <c r="N23" s="347"/>
      <c r="O23" s="347"/>
      <c r="P23" s="348"/>
      <c r="Q23" s="348"/>
      <c r="R23" s="348"/>
      <c r="S23" s="350" t="str">
        <f t="shared" si="2"/>
        <v/>
      </c>
    </row>
    <row r="24" spans="1:19">
      <c r="A24" s="347"/>
      <c r="B24" s="347"/>
      <c r="C24" s="347"/>
      <c r="D24" s="347"/>
      <c r="E24" s="348"/>
      <c r="F24" s="348"/>
      <c r="G24" s="347"/>
      <c r="H24" s="348"/>
      <c r="I24" s="348"/>
      <c r="J24" s="347"/>
      <c r="K24" s="348"/>
      <c r="L24" s="350" t="str">
        <f t="shared" si="0"/>
        <v/>
      </c>
      <c r="M24" s="347" t="str">
        <f t="shared" si="1"/>
        <v/>
      </c>
      <c r="N24" s="347"/>
      <c r="O24" s="347"/>
      <c r="P24" s="348"/>
      <c r="Q24" s="348"/>
      <c r="R24" s="348"/>
      <c r="S24" s="350" t="str">
        <f t="shared" si="2"/>
        <v/>
      </c>
    </row>
    <row r="25" spans="1:19">
      <c r="A25" s="347"/>
      <c r="B25" s="347"/>
      <c r="C25" s="347"/>
      <c r="D25" s="347"/>
      <c r="E25" s="348"/>
      <c r="F25" s="348"/>
      <c r="G25" s="347"/>
      <c r="H25" s="348"/>
      <c r="I25" s="348"/>
      <c r="J25" s="347"/>
      <c r="K25" s="348"/>
      <c r="L25" s="350" t="str">
        <f t="shared" si="0"/>
        <v/>
      </c>
      <c r="M25" s="347" t="str">
        <f t="shared" si="1"/>
        <v/>
      </c>
      <c r="N25" s="347"/>
      <c r="O25" s="347"/>
      <c r="P25" s="348"/>
      <c r="Q25" s="348"/>
      <c r="R25" s="348"/>
      <c r="S25" s="350" t="str">
        <f t="shared" si="2"/>
        <v/>
      </c>
    </row>
    <row r="26" spans="1:19">
      <c r="A26" s="347"/>
      <c r="B26" s="347"/>
      <c r="C26" s="347"/>
      <c r="D26" s="347"/>
      <c r="E26" s="348"/>
      <c r="F26" s="348"/>
      <c r="G26" s="347"/>
      <c r="H26" s="348"/>
      <c r="I26" s="348"/>
      <c r="J26" s="347"/>
      <c r="K26" s="348"/>
      <c r="L26" s="350" t="str">
        <f t="shared" si="0"/>
        <v/>
      </c>
      <c r="M26" s="347" t="str">
        <f t="shared" si="1"/>
        <v/>
      </c>
      <c r="N26" s="347"/>
      <c r="O26" s="347"/>
      <c r="P26" s="348"/>
      <c r="Q26" s="348"/>
      <c r="R26" s="348"/>
      <c r="S26" s="350" t="str">
        <f t="shared" si="2"/>
        <v/>
      </c>
    </row>
    <row r="27" spans="1:19">
      <c r="A27" s="347"/>
      <c r="B27" s="347"/>
      <c r="C27" s="347"/>
      <c r="D27" s="347"/>
      <c r="E27" s="348"/>
      <c r="F27" s="348"/>
      <c r="G27" s="347"/>
      <c r="H27" s="348"/>
      <c r="I27" s="348"/>
      <c r="J27" s="347"/>
      <c r="K27" s="348"/>
      <c r="L27" s="350" t="str">
        <f t="shared" si="0"/>
        <v/>
      </c>
      <c r="M27" s="347" t="str">
        <f t="shared" si="1"/>
        <v/>
      </c>
      <c r="N27" s="347"/>
      <c r="O27" s="347"/>
      <c r="P27" s="348"/>
      <c r="Q27" s="348"/>
      <c r="R27" s="348"/>
      <c r="S27" s="350" t="str">
        <f t="shared" si="2"/>
        <v/>
      </c>
    </row>
    <row r="28" spans="1:19">
      <c r="A28" s="347"/>
      <c r="B28" s="347"/>
      <c r="C28" s="347"/>
      <c r="D28" s="347"/>
      <c r="E28" s="348"/>
      <c r="F28" s="348"/>
      <c r="G28" s="347"/>
      <c r="H28" s="348"/>
      <c r="I28" s="348"/>
      <c r="J28" s="347"/>
      <c r="K28" s="348"/>
      <c r="L28" s="350" t="str">
        <f t="shared" si="0"/>
        <v/>
      </c>
      <c r="M28" s="347" t="str">
        <f t="shared" si="1"/>
        <v/>
      </c>
      <c r="N28" s="347"/>
      <c r="O28" s="347"/>
      <c r="P28" s="348"/>
      <c r="Q28" s="348"/>
      <c r="R28" s="348"/>
      <c r="S28" s="350" t="str">
        <f t="shared" si="2"/>
        <v/>
      </c>
    </row>
    <row r="29" spans="1:19">
      <c r="A29" s="347"/>
      <c r="B29" s="347"/>
      <c r="C29" s="347"/>
      <c r="D29" s="347"/>
      <c r="E29" s="348"/>
      <c r="F29" s="348"/>
      <c r="G29" s="347"/>
      <c r="H29" s="348"/>
      <c r="I29" s="348"/>
      <c r="J29" s="347"/>
      <c r="K29" s="348"/>
      <c r="L29" s="350" t="str">
        <f t="shared" si="0"/>
        <v/>
      </c>
      <c r="M29" s="347" t="str">
        <f t="shared" si="1"/>
        <v/>
      </c>
      <c r="N29" s="347"/>
      <c r="O29" s="347"/>
      <c r="P29" s="348"/>
      <c r="Q29" s="348"/>
      <c r="R29" s="348"/>
      <c r="S29" s="350" t="str">
        <f t="shared" si="2"/>
        <v/>
      </c>
    </row>
    <row r="30" spans="1:19">
      <c r="A30" s="347"/>
      <c r="B30" s="347"/>
      <c r="C30" s="347"/>
      <c r="D30" s="347"/>
      <c r="E30" s="348"/>
      <c r="F30" s="348"/>
      <c r="G30" s="347"/>
      <c r="H30" s="348"/>
      <c r="I30" s="348"/>
      <c r="J30" s="347"/>
      <c r="K30" s="348"/>
      <c r="L30" s="350" t="str">
        <f t="shared" si="0"/>
        <v/>
      </c>
      <c r="M30" s="347" t="str">
        <f t="shared" si="1"/>
        <v/>
      </c>
      <c r="N30" s="347"/>
      <c r="O30" s="347"/>
      <c r="P30" s="348"/>
      <c r="Q30" s="348"/>
      <c r="R30" s="348"/>
      <c r="S30" s="350" t="str">
        <f t="shared" si="2"/>
        <v/>
      </c>
    </row>
    <row r="31" spans="1:19">
      <c r="A31" s="347"/>
      <c r="B31" s="347"/>
      <c r="C31" s="347"/>
      <c r="D31" s="347"/>
      <c r="E31" s="348"/>
      <c r="F31" s="348"/>
      <c r="G31" s="347"/>
      <c r="H31" s="348"/>
      <c r="I31" s="348"/>
      <c r="J31" s="347"/>
      <c r="K31" s="348"/>
      <c r="L31" s="350" t="str">
        <f t="shared" si="0"/>
        <v/>
      </c>
      <c r="M31" s="347" t="str">
        <f t="shared" si="1"/>
        <v/>
      </c>
      <c r="N31" s="347"/>
      <c r="O31" s="347"/>
      <c r="P31" s="348"/>
      <c r="Q31" s="348"/>
      <c r="R31" s="348"/>
      <c r="S31" s="350" t="str">
        <f t="shared" si="2"/>
        <v/>
      </c>
    </row>
    <row r="32" spans="1:19">
      <c r="A32" s="347"/>
      <c r="B32" s="347"/>
      <c r="C32" s="347"/>
      <c r="D32" s="347"/>
      <c r="E32" s="348"/>
      <c r="F32" s="348"/>
      <c r="G32" s="347"/>
      <c r="H32" s="348"/>
      <c r="I32" s="348"/>
      <c r="J32" s="347"/>
      <c r="K32" s="348"/>
      <c r="L32" s="350" t="str">
        <f t="shared" si="0"/>
        <v/>
      </c>
      <c r="M32" s="347" t="str">
        <f t="shared" si="1"/>
        <v/>
      </c>
      <c r="N32" s="347"/>
      <c r="O32" s="347"/>
      <c r="P32" s="348"/>
      <c r="Q32" s="348"/>
      <c r="R32" s="348"/>
      <c r="S32" s="350" t="str">
        <f t="shared" si="2"/>
        <v/>
      </c>
    </row>
    <row r="33" spans="1:19">
      <c r="A33" s="347"/>
      <c r="B33" s="347"/>
      <c r="C33" s="347"/>
      <c r="D33" s="347"/>
      <c r="E33" s="348"/>
      <c r="F33" s="348"/>
      <c r="G33" s="347"/>
      <c r="H33" s="348"/>
      <c r="I33" s="348"/>
      <c r="J33" s="347"/>
      <c r="K33" s="348"/>
      <c r="L33" s="350" t="str">
        <f t="shared" si="0"/>
        <v/>
      </c>
      <c r="M33" s="347" t="str">
        <f t="shared" si="1"/>
        <v/>
      </c>
      <c r="N33" s="347"/>
      <c r="O33" s="347"/>
      <c r="P33" s="348"/>
      <c r="Q33" s="348"/>
      <c r="R33" s="348"/>
      <c r="S33" s="350" t="str">
        <f t="shared" si="2"/>
        <v/>
      </c>
    </row>
    <row r="34" spans="1:19">
      <c r="A34" s="347"/>
      <c r="B34" s="347"/>
      <c r="C34" s="347"/>
      <c r="D34" s="347"/>
      <c r="E34" s="348"/>
      <c r="F34" s="348"/>
      <c r="G34" s="347"/>
      <c r="H34" s="348"/>
      <c r="I34" s="348"/>
      <c r="J34" s="347"/>
      <c r="K34" s="348"/>
      <c r="L34" s="350" t="str">
        <f t="shared" si="0"/>
        <v/>
      </c>
      <c r="M34" s="347" t="str">
        <f t="shared" si="1"/>
        <v/>
      </c>
      <c r="N34" s="347"/>
      <c r="O34" s="347"/>
      <c r="P34" s="348"/>
      <c r="Q34" s="348"/>
      <c r="R34" s="348"/>
      <c r="S34" s="350" t="str">
        <f t="shared" si="2"/>
        <v/>
      </c>
    </row>
    <row r="35" spans="1:19">
      <c r="A35" s="347"/>
      <c r="B35" s="347"/>
      <c r="C35" s="347"/>
      <c r="D35" s="347"/>
      <c r="E35" s="348"/>
      <c r="F35" s="348"/>
      <c r="G35" s="347"/>
      <c r="H35" s="348"/>
      <c r="I35" s="348"/>
      <c r="J35" s="347"/>
      <c r="K35" s="348"/>
      <c r="L35" s="350" t="str">
        <f t="shared" si="0"/>
        <v/>
      </c>
      <c r="M35" s="347" t="str">
        <f t="shared" si="1"/>
        <v/>
      </c>
      <c r="N35" s="347"/>
      <c r="O35" s="347"/>
      <c r="P35" s="348"/>
      <c r="Q35" s="348"/>
      <c r="R35" s="348"/>
      <c r="S35" s="350" t="str">
        <f t="shared" si="2"/>
        <v/>
      </c>
    </row>
    <row r="36" spans="1:19">
      <c r="A36" s="347"/>
      <c r="B36" s="347"/>
      <c r="C36" s="347"/>
      <c r="D36" s="347"/>
      <c r="E36" s="348"/>
      <c r="F36" s="348"/>
      <c r="G36" s="347"/>
      <c r="H36" s="348"/>
      <c r="I36" s="348"/>
      <c r="J36" s="347"/>
      <c r="K36" s="348"/>
      <c r="L36" s="350" t="str">
        <f t="shared" si="0"/>
        <v/>
      </c>
      <c r="M36" s="347" t="str">
        <f t="shared" si="1"/>
        <v/>
      </c>
      <c r="N36" s="347"/>
      <c r="O36" s="347"/>
      <c r="P36" s="348"/>
      <c r="Q36" s="348"/>
      <c r="R36" s="348"/>
      <c r="S36" s="350" t="str">
        <f t="shared" si="2"/>
        <v/>
      </c>
    </row>
    <row r="37" spans="1:19">
      <c r="A37" s="347"/>
      <c r="B37" s="347"/>
      <c r="C37" s="347"/>
      <c r="D37" s="347"/>
      <c r="E37" s="348"/>
      <c r="F37" s="348"/>
      <c r="G37" s="347"/>
      <c r="H37" s="348"/>
      <c r="I37" s="348"/>
      <c r="J37" s="347"/>
      <c r="K37" s="348"/>
      <c r="L37" s="350" t="str">
        <f t="shared" si="0"/>
        <v/>
      </c>
      <c r="M37" s="347" t="str">
        <f t="shared" si="1"/>
        <v/>
      </c>
      <c r="N37" s="347"/>
      <c r="O37" s="347"/>
      <c r="P37" s="348"/>
      <c r="Q37" s="348"/>
      <c r="R37" s="348"/>
      <c r="S37" s="350" t="str">
        <f t="shared" si="2"/>
        <v/>
      </c>
    </row>
    <row r="38" spans="1:19">
      <c r="A38" s="347"/>
      <c r="B38" s="347"/>
      <c r="C38" s="347"/>
      <c r="D38" s="347"/>
      <c r="E38" s="348"/>
      <c r="F38" s="348"/>
      <c r="G38" s="347"/>
      <c r="H38" s="348"/>
      <c r="I38" s="348"/>
      <c r="J38" s="347"/>
      <c r="K38" s="348"/>
      <c r="L38" s="350" t="str">
        <f t="shared" si="0"/>
        <v/>
      </c>
      <c r="M38" s="347" t="str">
        <f t="shared" si="1"/>
        <v/>
      </c>
      <c r="N38" s="347"/>
      <c r="O38" s="347"/>
      <c r="P38" s="348"/>
      <c r="Q38" s="348"/>
      <c r="R38" s="348"/>
      <c r="S38" s="350" t="str">
        <f t="shared" si="2"/>
        <v/>
      </c>
    </row>
    <row r="39" spans="1:19">
      <c r="A39" s="347"/>
      <c r="B39" s="347"/>
      <c r="C39" s="347"/>
      <c r="D39" s="347"/>
      <c r="E39" s="348"/>
      <c r="F39" s="348"/>
      <c r="G39" s="347"/>
      <c r="H39" s="348"/>
      <c r="I39" s="348"/>
      <c r="J39" s="347"/>
      <c r="K39" s="348"/>
      <c r="L39" s="350" t="str">
        <f t="shared" si="0"/>
        <v/>
      </c>
      <c r="M39" s="347" t="str">
        <f t="shared" si="1"/>
        <v/>
      </c>
      <c r="N39" s="347"/>
      <c r="O39" s="347"/>
      <c r="P39" s="348"/>
      <c r="Q39" s="348"/>
      <c r="R39" s="348"/>
      <c r="S39" s="350" t="str">
        <f>IF(P39&lt;&gt;"",P39*Q39*R39,"")</f>
        <v/>
      </c>
    </row>
    <row r="40" spans="1:19">
      <c r="A40" s="347"/>
      <c r="B40" s="347"/>
      <c r="C40" s="347"/>
      <c r="D40" s="347"/>
      <c r="E40" s="348"/>
      <c r="F40" s="348"/>
      <c r="G40" s="347"/>
      <c r="H40" s="348"/>
      <c r="I40" s="348"/>
      <c r="J40" s="347"/>
      <c r="K40" s="348"/>
      <c r="L40" s="350" t="str">
        <f t="shared" si="0"/>
        <v/>
      </c>
      <c r="M40" s="347" t="str">
        <f t="shared" si="1"/>
        <v/>
      </c>
      <c r="N40" s="347"/>
      <c r="O40" s="347"/>
      <c r="P40" s="348"/>
      <c r="Q40" s="348"/>
      <c r="R40" s="348"/>
      <c r="S40" s="350" t="str">
        <f>IF(P40&lt;&gt;"",P40*Q40*R40,"")</f>
        <v/>
      </c>
    </row>
    <row r="41" spans="1:19">
      <c r="A41" s="347"/>
      <c r="B41" s="347"/>
      <c r="C41" s="347"/>
      <c r="D41" s="347"/>
      <c r="E41" s="348"/>
      <c r="F41" s="348"/>
      <c r="G41" s="347"/>
      <c r="H41" s="348"/>
      <c r="I41" s="348"/>
      <c r="J41" s="347"/>
      <c r="K41" s="348"/>
      <c r="L41" s="350" t="str">
        <f t="shared" si="0"/>
        <v/>
      </c>
      <c r="M41" s="347" t="str">
        <f t="shared" si="1"/>
        <v/>
      </c>
      <c r="N41" s="347"/>
      <c r="O41" s="347"/>
      <c r="P41" s="348"/>
      <c r="Q41" s="348"/>
      <c r="R41" s="348"/>
      <c r="S41" s="350" t="str">
        <f>IF(P41&lt;&gt;"",P41*Q41*R41,"")</f>
        <v/>
      </c>
    </row>
    <row r="42" spans="1:19">
      <c r="A42" s="351"/>
      <c r="B42" s="351"/>
      <c r="C42" s="351"/>
      <c r="D42" s="351"/>
      <c r="E42" s="352"/>
      <c r="F42" s="352"/>
      <c r="G42" s="351"/>
      <c r="H42" s="352"/>
      <c r="I42" s="352"/>
      <c r="J42" s="351"/>
      <c r="K42" s="352"/>
      <c r="L42" s="353" t="str">
        <f t="shared" si="0"/>
        <v/>
      </c>
      <c r="M42" s="354" t="str">
        <f t="shared" si="1"/>
        <v/>
      </c>
      <c r="N42" s="351"/>
      <c r="O42" s="351"/>
      <c r="P42" s="352"/>
      <c r="Q42" s="352"/>
      <c r="R42" s="352"/>
      <c r="S42" s="353" t="str">
        <f>IF(P42&lt;&gt;"",P42*Q42*R42,"")</f>
        <v/>
      </c>
    </row>
  </sheetData>
  <mergeCells count="30">
    <mergeCell ref="G1:L4"/>
    <mergeCell ref="O1:R1"/>
    <mergeCell ref="O3:R3"/>
    <mergeCell ref="C5:E5"/>
    <mergeCell ref="H5:L5"/>
    <mergeCell ref="O5:R5"/>
    <mergeCell ref="H11:H15"/>
    <mergeCell ref="I11:I15"/>
    <mergeCell ref="L11:L15"/>
    <mergeCell ref="A11:A15"/>
    <mergeCell ref="B11:B15"/>
    <mergeCell ref="C11:C15"/>
    <mergeCell ref="D11:D15"/>
    <mergeCell ref="E11:E15"/>
    <mergeCell ref="M11:M15"/>
    <mergeCell ref="J11:J15"/>
    <mergeCell ref="K11:K15"/>
    <mergeCell ref="C7:E7"/>
    <mergeCell ref="H7:L7"/>
    <mergeCell ref="B9:R9"/>
    <mergeCell ref="N11:N15"/>
    <mergeCell ref="O11:S11"/>
    <mergeCell ref="O12:O15"/>
    <mergeCell ref="P12:P15"/>
    <mergeCell ref="Q12:Q15"/>
    <mergeCell ref="O7:R7"/>
    <mergeCell ref="G11:G15"/>
    <mergeCell ref="F11:F15"/>
    <mergeCell ref="R12:R15"/>
    <mergeCell ref="S12:S15"/>
  </mergeCells>
  <printOptions horizontalCentered="1"/>
  <pageMargins left="0.5" right="0.5" top="1.3916666666666666" bottom="0.75" header="0.5" footer="0.5"/>
  <pageSetup scale="80" orientation="landscape" r:id="rId1"/>
  <headerFooter>
    <oddHeader>&amp;L&amp;G&amp;C&amp;"Arial,Bold"&amp;14POTENTIAL
FAILURE MODE AND EFFECTS ANALYSIS
(DESIGN FMEA)</oddHeader>
    <oddFooter>&amp;C&amp;F</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34"/>
  <sheetViews>
    <sheetView showGridLines="0" showRowColHeaders="0" view="pageLayout" zoomScaleNormal="100" workbookViewId="0">
      <selection activeCell="B1" sqref="B1"/>
    </sheetView>
  </sheetViews>
  <sheetFormatPr defaultColWidth="0" defaultRowHeight="12.75"/>
  <cols>
    <col min="1" max="1" width="3" style="355" bestFit="1" customWidth="1"/>
    <col min="2" max="2" width="101.140625" style="355" customWidth="1"/>
    <col min="3" max="3" width="0.5703125" style="355" customWidth="1"/>
    <col min="4" max="9" width="9.140625" style="355" hidden="1" customWidth="1"/>
    <col min="10" max="16384" width="9.140625" style="357" hidden="1"/>
  </cols>
  <sheetData>
    <row r="1" spans="1:9" ht="18">
      <c r="B1" s="356"/>
    </row>
    <row r="2" spans="1:9">
      <c r="B2" s="358" t="s">
        <v>704</v>
      </c>
    </row>
    <row r="3" spans="1:9" s="360" customFormat="1">
      <c r="A3" s="648">
        <v>10</v>
      </c>
      <c r="B3" s="649" t="s">
        <v>789</v>
      </c>
      <c r="C3" s="359"/>
      <c r="D3" s="359"/>
      <c r="E3" s="359"/>
      <c r="F3" s="359"/>
      <c r="G3" s="359"/>
      <c r="H3" s="359"/>
      <c r="I3" s="359"/>
    </row>
    <row r="4" spans="1:9" s="360" customFormat="1">
      <c r="A4" s="648">
        <v>9</v>
      </c>
      <c r="B4" s="649" t="s">
        <v>790</v>
      </c>
      <c r="C4" s="359"/>
      <c r="D4" s="359"/>
      <c r="E4" s="359"/>
      <c r="F4" s="359"/>
      <c r="G4" s="359"/>
      <c r="H4" s="359"/>
      <c r="I4" s="359"/>
    </row>
    <row r="5" spans="1:9" s="360" customFormat="1">
      <c r="A5" s="648">
        <v>8</v>
      </c>
      <c r="B5" s="649" t="s">
        <v>791</v>
      </c>
      <c r="C5" s="359"/>
      <c r="D5" s="359"/>
      <c r="E5" s="359"/>
      <c r="F5" s="359"/>
      <c r="G5" s="359"/>
      <c r="H5" s="359"/>
      <c r="I5" s="359"/>
    </row>
    <row r="6" spans="1:9" s="360" customFormat="1">
      <c r="A6" s="648">
        <v>7</v>
      </c>
      <c r="B6" s="649" t="s">
        <v>792</v>
      </c>
      <c r="C6" s="359"/>
      <c r="D6" s="359"/>
      <c r="E6" s="359"/>
      <c r="F6" s="359"/>
      <c r="G6" s="359"/>
      <c r="H6" s="359"/>
      <c r="I6" s="359"/>
    </row>
    <row r="7" spans="1:9" s="360" customFormat="1">
      <c r="A7" s="648">
        <v>6</v>
      </c>
      <c r="B7" s="649" t="s">
        <v>793</v>
      </c>
      <c r="C7" s="359"/>
      <c r="D7" s="359"/>
      <c r="E7" s="359"/>
      <c r="F7" s="359"/>
      <c r="G7" s="359"/>
      <c r="H7" s="359"/>
      <c r="I7" s="359"/>
    </row>
    <row r="8" spans="1:9" s="360" customFormat="1">
      <c r="A8" s="648">
        <v>5</v>
      </c>
      <c r="B8" s="649" t="s">
        <v>794</v>
      </c>
      <c r="C8" s="359"/>
      <c r="D8" s="359"/>
      <c r="E8" s="359"/>
      <c r="F8" s="359"/>
      <c r="G8" s="359"/>
      <c r="H8" s="359"/>
      <c r="I8" s="359"/>
    </row>
    <row r="9" spans="1:9" s="360" customFormat="1">
      <c r="A9" s="648">
        <v>4</v>
      </c>
      <c r="B9" s="649" t="s">
        <v>795</v>
      </c>
      <c r="C9" s="359"/>
      <c r="D9" s="359"/>
      <c r="E9" s="359"/>
      <c r="F9" s="359"/>
      <c r="G9" s="359"/>
      <c r="H9" s="359"/>
      <c r="I9" s="359"/>
    </row>
    <row r="10" spans="1:9" s="360" customFormat="1">
      <c r="A10" s="648">
        <v>3</v>
      </c>
      <c r="B10" s="649" t="s">
        <v>796</v>
      </c>
      <c r="C10" s="359"/>
      <c r="D10" s="359"/>
      <c r="E10" s="359"/>
      <c r="F10" s="359"/>
      <c r="G10" s="359"/>
      <c r="H10" s="359"/>
      <c r="I10" s="359"/>
    </row>
    <row r="11" spans="1:9" s="360" customFormat="1" ht="25.5">
      <c r="A11" s="648">
        <v>2</v>
      </c>
      <c r="B11" s="649" t="s">
        <v>797</v>
      </c>
      <c r="C11" s="359"/>
      <c r="D11" s="359"/>
      <c r="E11" s="359"/>
      <c r="F11" s="359"/>
      <c r="G11" s="359"/>
      <c r="H11" s="359"/>
      <c r="I11" s="359"/>
    </row>
    <row r="12" spans="1:9" s="360" customFormat="1">
      <c r="A12" s="648">
        <v>1</v>
      </c>
      <c r="B12" s="649" t="s">
        <v>798</v>
      </c>
      <c r="C12" s="359"/>
      <c r="D12" s="359"/>
      <c r="E12" s="359"/>
      <c r="F12" s="359"/>
      <c r="G12" s="359"/>
      <c r="H12" s="359"/>
      <c r="I12" s="359"/>
    </row>
    <row r="13" spans="1:9" s="291" customFormat="1" ht="25.5" customHeight="1">
      <c r="A13" s="650"/>
      <c r="B13" s="651" t="s">
        <v>706</v>
      </c>
      <c r="C13" s="645"/>
      <c r="D13" s="645"/>
      <c r="E13" s="645"/>
      <c r="F13" s="645"/>
      <c r="G13" s="645"/>
      <c r="H13" s="645"/>
      <c r="I13" s="645"/>
    </row>
    <row r="14" spans="1:9" s="360" customFormat="1">
      <c r="A14" s="648">
        <v>10</v>
      </c>
      <c r="B14" s="649" t="s">
        <v>799</v>
      </c>
      <c r="C14" s="359"/>
      <c r="D14" s="359"/>
      <c r="E14" s="359"/>
      <c r="F14" s="359"/>
      <c r="G14" s="359"/>
      <c r="H14" s="359"/>
      <c r="I14" s="359"/>
    </row>
    <row r="15" spans="1:9" s="360" customFormat="1">
      <c r="A15" s="648">
        <v>9</v>
      </c>
      <c r="B15" s="649" t="s">
        <v>800</v>
      </c>
      <c r="C15" s="359"/>
      <c r="D15" s="359"/>
      <c r="E15" s="359"/>
      <c r="F15" s="359"/>
      <c r="G15" s="359"/>
      <c r="H15" s="359"/>
      <c r="I15" s="359"/>
    </row>
    <row r="16" spans="1:9" s="360" customFormat="1">
      <c r="A16" s="648">
        <v>8</v>
      </c>
      <c r="B16" s="649" t="s">
        <v>801</v>
      </c>
      <c r="C16" s="359"/>
      <c r="D16" s="359"/>
      <c r="E16" s="359"/>
      <c r="F16" s="359"/>
      <c r="G16" s="359"/>
      <c r="H16" s="359"/>
      <c r="I16" s="359"/>
    </row>
    <row r="17" spans="1:9" s="360" customFormat="1">
      <c r="A17" s="648">
        <v>7</v>
      </c>
      <c r="B17" s="649" t="s">
        <v>802</v>
      </c>
      <c r="C17" s="359"/>
      <c r="D17" s="359"/>
      <c r="E17" s="359"/>
      <c r="F17" s="359"/>
      <c r="G17" s="359"/>
      <c r="H17" s="359"/>
      <c r="I17" s="359"/>
    </row>
    <row r="18" spans="1:9" s="360" customFormat="1">
      <c r="A18" s="648">
        <v>6</v>
      </c>
      <c r="B18" s="649" t="s">
        <v>803</v>
      </c>
      <c r="C18" s="359"/>
      <c r="D18" s="359"/>
      <c r="E18" s="359"/>
      <c r="F18" s="359"/>
      <c r="G18" s="359"/>
      <c r="H18" s="359"/>
      <c r="I18" s="359"/>
    </row>
    <row r="19" spans="1:9" s="360" customFormat="1">
      <c r="A19" s="648">
        <v>5</v>
      </c>
      <c r="B19" s="649" t="s">
        <v>804</v>
      </c>
      <c r="C19" s="359"/>
      <c r="D19" s="359"/>
      <c r="E19" s="359"/>
      <c r="F19" s="359"/>
      <c r="G19" s="359"/>
      <c r="H19" s="359"/>
      <c r="I19" s="359"/>
    </row>
    <row r="20" spans="1:9" s="360" customFormat="1">
      <c r="A20" s="648">
        <v>4</v>
      </c>
      <c r="B20" s="649" t="s">
        <v>805</v>
      </c>
      <c r="C20" s="359"/>
      <c r="D20" s="359"/>
      <c r="E20" s="359"/>
      <c r="F20" s="359"/>
      <c r="G20" s="359"/>
      <c r="H20" s="359"/>
      <c r="I20" s="359"/>
    </row>
    <row r="21" spans="1:9" s="360" customFormat="1">
      <c r="A21" s="648">
        <v>3</v>
      </c>
      <c r="B21" s="649" t="s">
        <v>806</v>
      </c>
      <c r="C21" s="359"/>
      <c r="D21" s="359"/>
      <c r="E21" s="359"/>
      <c r="F21" s="359"/>
      <c r="G21" s="359"/>
      <c r="H21" s="359"/>
      <c r="I21" s="359"/>
    </row>
    <row r="22" spans="1:9" s="360" customFormat="1">
      <c r="A22" s="648">
        <v>2</v>
      </c>
      <c r="B22" s="649" t="s">
        <v>807</v>
      </c>
      <c r="C22" s="359"/>
      <c r="D22" s="359"/>
      <c r="E22" s="359"/>
      <c r="F22" s="359"/>
      <c r="G22" s="359"/>
      <c r="H22" s="359"/>
      <c r="I22" s="359"/>
    </row>
    <row r="23" spans="1:9" s="360" customFormat="1">
      <c r="A23" s="648">
        <v>1</v>
      </c>
      <c r="B23" s="649" t="s">
        <v>808</v>
      </c>
      <c r="C23" s="359"/>
      <c r="D23" s="359"/>
      <c r="E23" s="359"/>
      <c r="F23" s="359"/>
      <c r="G23" s="359"/>
      <c r="H23" s="359"/>
      <c r="I23" s="359"/>
    </row>
    <row r="24" spans="1:9" ht="25.5" customHeight="1">
      <c r="A24" s="652"/>
      <c r="B24" s="651" t="s">
        <v>707</v>
      </c>
    </row>
    <row r="25" spans="1:9" s="360" customFormat="1">
      <c r="A25" s="648">
        <v>10</v>
      </c>
      <c r="B25" s="649" t="s">
        <v>809</v>
      </c>
      <c r="C25" s="359"/>
      <c r="D25" s="359"/>
      <c r="E25" s="359"/>
      <c r="F25" s="359"/>
      <c r="G25" s="359"/>
      <c r="H25" s="359"/>
      <c r="I25" s="359"/>
    </row>
    <row r="26" spans="1:9" s="360" customFormat="1" ht="25.5">
      <c r="A26" s="648">
        <v>9</v>
      </c>
      <c r="B26" s="649" t="s">
        <v>904</v>
      </c>
      <c r="C26" s="359"/>
      <c r="D26" s="359"/>
      <c r="E26" s="359"/>
      <c r="F26" s="359"/>
      <c r="G26" s="359"/>
      <c r="H26" s="359"/>
      <c r="I26" s="359"/>
    </row>
    <row r="27" spans="1:9" s="360" customFormat="1" ht="25.5">
      <c r="A27" s="648">
        <v>8</v>
      </c>
      <c r="B27" s="649" t="s">
        <v>905</v>
      </c>
      <c r="C27" s="359"/>
      <c r="D27" s="359"/>
      <c r="E27" s="359"/>
      <c r="F27" s="359"/>
      <c r="G27" s="359"/>
      <c r="H27" s="359"/>
      <c r="I27" s="359"/>
    </row>
    <row r="28" spans="1:9" s="360" customFormat="1" ht="25.5">
      <c r="A28" s="648">
        <v>7</v>
      </c>
      <c r="B28" s="649" t="s">
        <v>906</v>
      </c>
      <c r="C28" s="359"/>
      <c r="D28" s="359"/>
      <c r="E28" s="359"/>
      <c r="F28" s="359"/>
      <c r="G28" s="359"/>
      <c r="H28" s="359"/>
      <c r="I28" s="359"/>
    </row>
    <row r="29" spans="1:9" s="360" customFormat="1" ht="25.5">
      <c r="A29" s="648">
        <v>6</v>
      </c>
      <c r="B29" s="649" t="s">
        <v>907</v>
      </c>
      <c r="C29" s="359"/>
      <c r="D29" s="359"/>
      <c r="E29" s="359"/>
      <c r="F29" s="359"/>
      <c r="G29" s="359"/>
      <c r="H29" s="359"/>
      <c r="I29" s="359"/>
    </row>
    <row r="30" spans="1:9" s="360" customFormat="1" ht="25.5">
      <c r="A30" s="648">
        <v>5</v>
      </c>
      <c r="B30" s="649" t="s">
        <v>908</v>
      </c>
      <c r="C30" s="359"/>
      <c r="D30" s="359"/>
      <c r="E30" s="359"/>
      <c r="F30" s="359"/>
      <c r="G30" s="359"/>
      <c r="H30" s="359"/>
      <c r="I30" s="359"/>
    </row>
    <row r="31" spans="1:9" s="360" customFormat="1" ht="25.5">
      <c r="A31" s="648">
        <v>4</v>
      </c>
      <c r="B31" s="649" t="s">
        <v>909</v>
      </c>
      <c r="C31" s="359"/>
      <c r="D31" s="359"/>
      <c r="E31" s="359"/>
      <c r="F31" s="359"/>
      <c r="G31" s="359"/>
      <c r="H31" s="359"/>
      <c r="I31" s="359"/>
    </row>
    <row r="32" spans="1:9" s="360" customFormat="1" ht="25.5">
      <c r="A32" s="648">
        <v>3</v>
      </c>
      <c r="B32" s="649" t="s">
        <v>910</v>
      </c>
      <c r="C32" s="359"/>
      <c r="D32" s="359"/>
      <c r="E32" s="359"/>
      <c r="F32" s="359"/>
      <c r="G32" s="359"/>
      <c r="H32" s="359"/>
      <c r="I32" s="359"/>
    </row>
    <row r="33" spans="1:9" s="360" customFormat="1" ht="25.5">
      <c r="A33" s="648">
        <v>2</v>
      </c>
      <c r="B33" s="649" t="s">
        <v>911</v>
      </c>
      <c r="C33" s="359"/>
      <c r="D33" s="359"/>
      <c r="E33" s="359"/>
      <c r="F33" s="359"/>
      <c r="G33" s="359"/>
      <c r="H33" s="359"/>
      <c r="I33" s="359"/>
    </row>
    <row r="34" spans="1:9" s="360" customFormat="1" ht="25.5">
      <c r="A34" s="648">
        <v>1</v>
      </c>
      <c r="B34" s="649" t="s">
        <v>810</v>
      </c>
      <c r="C34" s="359"/>
      <c r="D34" s="359"/>
      <c r="E34" s="359"/>
      <c r="F34" s="359"/>
      <c r="G34" s="359"/>
      <c r="H34" s="359"/>
      <c r="I34" s="359"/>
    </row>
  </sheetData>
  <pageMargins left="0.25" right="0.25" top="1.53125" bottom="0.75" header="0.3" footer="0.3"/>
  <pageSetup orientation="portrait" r:id="rId1"/>
  <headerFooter>
    <oddHeader>&amp;L&amp;G&amp;C&amp;"Arial,Bold"&amp;14DFMEA LISTS&amp;10
&amp;"Arial,Regular"(4th Edition)</oddHeader>
    <oddFooter>&amp;C&amp;F</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SharedContentType xmlns="Microsoft.SharePoint.Taxonomy.ContentTypeSync" SourceId="6977c337-37ba-4984-bc6c-1bee428d1b03" ContentTypeId="0x010100E00B865102ECAC418A8C762207EFB417" PreviousValue="false"/>
</file>

<file path=customXml/item3.xml><?xml version="1.0" encoding="utf-8"?>
<ct:contentTypeSchema xmlns:ct="http://schemas.microsoft.com/office/2006/metadata/contentType" xmlns:ma="http://schemas.microsoft.com/office/2006/metadata/properties/metaAttributes" ct:_="" ma:_="" ma:contentTypeName="Hexagon - PDMS Content Type" ma:contentTypeID="0x010100E00B865102ECAC418A8C762207EFB417003BD206B21B842745AF8B7E4D99D35434" ma:contentTypeVersion="243" ma:contentTypeDescription="This content type is used for all PDMS libraries, both internal and external. If you need to make a change to the choices or fields that these libraries use, please update this content type." ma:contentTypeScope="" ma:versionID="9e0632c90f4101a1afc970ff631114b4">
  <xsd:schema xmlns:xsd="http://www.w3.org/2001/XMLSchema" xmlns:xs="http://www.w3.org/2001/XMLSchema" xmlns:p="http://schemas.microsoft.com/office/2006/metadata/properties" xmlns:ns1="http://schemas.microsoft.com/sharepoint/v3" xmlns:ns2="28226b7e-f8f9-4954-b420-94509168682d" xmlns:ns3="http://schemas.microsoft.com/sharepoint.v3" xmlns:ns4="http://schemas.microsoft.com/sharepoint/v3/fields" xmlns:ns5="5b1a6911-43a1-4767-8366-41fbd0200516" targetNamespace="http://schemas.microsoft.com/office/2006/metadata/properties" ma:root="true" ma:fieldsID="716a3597ae38cc9e7137e519eb69a72d" ns1:_="" ns2:_="" ns3:_="" ns4:_="" ns5:_="">
    <xsd:import namespace="http://schemas.microsoft.com/sharepoint/v3"/>
    <xsd:import namespace="28226b7e-f8f9-4954-b420-94509168682d"/>
    <xsd:import namespace="http://schemas.microsoft.com/sharepoint.v3"/>
    <xsd:import namespace="http://schemas.microsoft.com/sharepoint/v3/fields"/>
    <xsd:import namespace="5b1a6911-43a1-4767-8366-41fbd0200516"/>
    <xsd:element name="properties">
      <xsd:complexType>
        <xsd:sequence>
          <xsd:element name="documentManagement">
            <xsd:complexType>
              <xsd:all>
                <xsd:element ref="ns2:CompanyName" minOccurs="0"/>
                <xsd:element ref="ns2:Customer" minOccurs="0"/>
                <xsd:element ref="ns3:CategoryDescription" minOccurs="0"/>
                <xsd:element ref="ns2:DocumentGroup" minOccurs="0"/>
                <xsd:element ref="ns2:DocumentNumber" minOccurs="0"/>
                <xsd:element ref="ns1:Language" minOccurs="0"/>
                <xsd:element ref="ns2:Locations" minOccurs="0"/>
                <xsd:element ref="ns2:priorDocNumber" minOccurs="0"/>
                <xsd:element ref="ns2:ProcessName" minOccurs="0"/>
                <xsd:element ref="ns2:ProductionLine" minOccurs="0"/>
                <xsd:element ref="ns2:Request_x0020_Status" minOccurs="0"/>
                <xsd:element ref="ns4:_Revision" minOccurs="0"/>
                <xsd:element ref="ns2:WorkStation_x002f_Operation" minOccurs="0"/>
                <xsd:element ref="ns2:Classification" minOccurs="0"/>
                <xsd:element ref="ns2:ClassificationGroup" minOccurs="0"/>
                <xsd:element ref="ns2:Publishing_x0020_Notification" minOccurs="0"/>
                <xsd:element ref="ns2:Publish_x0020_to_x0020_PDF" minOccurs="0"/>
                <xsd:element ref="ns2:Hide_x0020_Document1" minOccurs="0"/>
                <xsd:element ref="ns2:Document_x0020_Notes1" minOccurs="0"/>
                <xsd:element ref="ns2:Subprocess" minOccurs="0"/>
                <xsd:element ref="ns2:Submitted_x0020_By" minOccurs="0"/>
                <xsd:element ref="ns2:Approved_x0020_By" minOccurs="0"/>
                <xsd:element ref="ns2:DocumentType" minOccurs="0"/>
                <xsd:element ref="ns2:Approver_x0020_Email"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5" nillable="true" ma:displayName="Language" ma:default="English" ma:format="Dropdown" ma:internalName="Language">
      <xsd:simpleType>
        <xsd:restriction base="dms:Choice">
          <xsd:enumeration value="Arabic (Saudi Arabia)"/>
          <xsd:enumeration value="Bulgarian (Bulgaria)"/>
          <xsd:enumeration value="Chinese (Hong Kong S.A.R.)"/>
          <xsd:enumeration value="Chinese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28226b7e-f8f9-4954-b420-94509168682d" elementFormDefault="qualified">
    <xsd:import namespace="http://schemas.microsoft.com/office/2006/documentManagement/types"/>
    <xsd:import namespace="http://schemas.microsoft.com/office/infopath/2007/PartnerControls"/>
    <xsd:element name="CompanyName" ma:index="9" nillable="true" ma:displayName="CompanyName" ma:format="Dropdown" ma:internalName="CompanyName">
      <xsd:simpleType>
        <xsd:restriction base="dms:Choice">
          <xsd:enumeration value="Hexagon Group"/>
          <xsd:enumeration value="Agility"/>
          <xsd:enumeration value="Digital Wave"/>
          <xsd:enumeration value="Purus Masterworks"/>
          <xsd:enumeration value="Purus Kassel"/>
          <xsd:enumeration value="Purus"/>
        </xsd:restriction>
      </xsd:simpleType>
    </xsd:element>
    <xsd:element name="Customer" ma:index="10" nillable="true" ma:displayName="Customer" ma:format="Dropdown" ma:internalName="Customer" ma:readOnly="false">
      <xsd:simpleType>
        <xsd:restriction base="dms:Choice">
          <xsd:enumeration value="none"/>
          <xsd:enumeration value="Amazon"/>
          <xsd:enumeration value="Caetano"/>
          <xsd:enumeration value="CAT"/>
          <xsd:enumeration value="Cummins"/>
          <xsd:enumeration value="DINA"/>
          <xsd:enumeration value="DTNA"/>
          <xsd:enumeration value="ElDorado"/>
          <xsd:enumeration value="Elgin"/>
          <xsd:enumeration value="Gillig"/>
          <xsd:enumeration value="GM"/>
          <xsd:enumeration value="Heil"/>
          <xsd:enumeration value="IVECO"/>
          <xsd:enumeration value="Keyou"/>
          <xsd:enumeration value="MAN"/>
          <xsd:enumeration value="MCI"/>
          <xsd:enumeration value="McNeilus"/>
          <xsd:enumeration value="Navistar"/>
          <xsd:enumeration value="New Flyer"/>
          <xsd:enumeration value="Nova Bus"/>
          <xsd:enumeration value="Scania"/>
          <xsd:enumeration value="Solaris"/>
          <xsd:enumeration value="Tico"/>
          <xsd:enumeration value="TMNA"/>
          <xsd:enumeration value="Toyota"/>
          <xsd:enumeration value="UPS"/>
          <xsd:enumeration value="Volkswagen"/>
          <xsd:enumeration value="Volvo"/>
          <xsd:enumeration value="Waste Management"/>
          <xsd:enumeration value="Wright Bus"/>
        </xsd:restriction>
      </xsd:simpleType>
    </xsd:element>
    <xsd:element name="DocumentGroup" ma:index="12" nillable="true" ma:displayName="DocumentGroup" ma:format="Dropdown" ma:indexed="true" ma:internalName="DocumentGroup">
      <xsd:simpleType>
        <xsd:union memberTypes="dms:Text">
          <xsd:simpleType>
            <xsd:restriction base="dms:Choice">
              <xsd:enumeration value="General"/>
              <xsd:enumeration value="EHS"/>
              <xsd:enumeration value="Quality"/>
              <xsd:enumeration value="Energy"/>
              <xsd:enumeration value="Production"/>
              <xsd:enumeration value="Training"/>
              <xsd:enumeration value="Functional Safety"/>
              <xsd:enumeration value="Other"/>
              <xsd:enumeration value="Engineering"/>
              <xsd:enumeration value="Customer Service"/>
              <xsd:enumeration value="ERP"/>
              <xsd:enumeration value="R&amp;D"/>
              <xsd:enumeration value="Obsolete"/>
            </xsd:restriction>
          </xsd:simpleType>
        </xsd:union>
      </xsd:simpleType>
    </xsd:element>
    <xsd:element name="DocumentNumber" ma:index="13" nillable="true" ma:displayName="DocumentNumber" ma:default="" ma:indexed="true" ma:internalName="DocumentNumber">
      <xsd:simpleType>
        <xsd:restriction base="dms:Text">
          <xsd:maxLength value="255"/>
        </xsd:restriction>
      </xsd:simpleType>
    </xsd:element>
    <xsd:element name="Locations" ma:index="16" nillable="true" ma:displayName="Locations" ma:internalName="Locations" ma:readOnly="false">
      <xsd:complexType>
        <xsd:complexContent>
          <xsd:extension base="dms:MultiChoice">
            <xsd:sequence>
              <xsd:element name="Value" maxOccurs="unbounded" minOccurs="0" nillable="true">
                <xsd:simpleType>
                  <xsd:restriction base="dms:Choice">
                    <xsd:enumeration value="Hexagon Group"/>
                    <xsd:enumeration value="Ålesund"/>
                    <xsd:enumeration value="Oslo"/>
                    <xsd:enumeration value="USA Holdings"/>
                    <xsd:enumeration value="Digital Wave"/>
                    <xsd:enumeration value="Centennial"/>
                    <xsd:enumeration value="Agility"/>
                    <xsd:enumeration value="Costa Mesa"/>
                    <xsd:enumeration value="Fontana"/>
                    <xsd:enumeration value="Kassel"/>
                    <xsd:enumeration value="Kelowna-Agility"/>
                    <xsd:enumeration value="Lincoln"/>
                    <xsd:enumeration value="Main Street"/>
                    <xsd:enumeration value="Raufoss-Agility"/>
                    <xsd:enumeration value="Rialto"/>
                    <xsd:enumeration value="Salisbury"/>
                    <xsd:enumeration value="UK"/>
                    <xsd:enumeration value="Purus"/>
                    <xsd:enumeration value="Purus Systems"/>
                    <xsd:enumeration value="Dallas"/>
                    <xsd:enumeration value="Kelowna-Purus"/>
                    <xsd:enumeration value="Ontario"/>
                    <xsd:enumeration value="Purus Maritime"/>
                  </xsd:restriction>
                </xsd:simpleType>
              </xsd:element>
            </xsd:sequence>
          </xsd:extension>
        </xsd:complexContent>
      </xsd:complexType>
    </xsd:element>
    <xsd:element name="priorDocNumber" ma:index="17" nillable="true" ma:displayName="priorDocNumber" ma:default="" ma:internalName="priorDocNumber">
      <xsd:simpleType>
        <xsd:restriction base="dms:Text">
          <xsd:maxLength value="255"/>
        </xsd:restriction>
      </xsd:simpleType>
    </xsd:element>
    <xsd:element name="ProcessName" ma:index="18" nillable="true" ma:displayName="Process" ma:format="Dropdown" ma:indexed="true" ma:internalName="ProcessName">
      <xsd:simpleType>
        <xsd:union memberTypes="dms:Text">
          <xsd:simpleType>
            <xsd:restriction base="dms:Choice">
              <xsd:enumeration value="General"/>
              <xsd:enumeration value="Quoting"/>
              <xsd:enumeration value="Order Entry"/>
              <xsd:enumeration value="Project Management"/>
              <xsd:enumeration value="Product Design"/>
              <xsd:enumeration value="Product Validation"/>
              <xsd:enumeration value="Manufacturing Design"/>
              <xsd:enumeration value="Manufacturing Validation"/>
              <xsd:enumeration value="Production Planning"/>
              <xsd:enumeration value="Purchasing"/>
              <xsd:enumeration value="Receiving"/>
              <xsd:enumeration value="Inventory Management"/>
              <xsd:enumeration value="Production"/>
              <xsd:enumeration value="Nonconforming Material Control"/>
              <xsd:enumeration value="Shipping"/>
              <xsd:enumeration value="Customer Invoicing"/>
              <xsd:enumeration value="Supplier Payment"/>
              <xsd:enumeration value="Customer/Field Support"/>
              <xsd:enumeration value="Employee Involvement"/>
              <xsd:enumeration value="Internal Audit"/>
              <xsd:enumeration value="Corrective/Preventive Action"/>
              <xsd:enumeration value="Continuous Improvement"/>
              <xsd:enumeration value="Accounting"/>
              <xsd:enumeration value="Supplier Performance Evaluation"/>
              <xsd:enumeration value="Management Review"/>
              <xsd:enumeration value="Management Planning"/>
              <xsd:enumeration value="Personnel and Training"/>
              <xsd:enumeration value="EHS"/>
              <xsd:enumeration value="Calibration"/>
              <xsd:enumeration value="Information Technology"/>
              <xsd:enumeration value="Equipment Maintenance &amp; Facility Management"/>
              <xsd:enumeration value="Management System"/>
              <xsd:enumeration value="Product Quality Planning"/>
              <xsd:enumeration value="Legal"/>
              <xsd:enumeration value="Change Management"/>
              <xsd:enumeration value="Governance"/>
            </xsd:restriction>
          </xsd:simpleType>
        </xsd:union>
      </xsd:simpleType>
    </xsd:element>
    <xsd:element name="ProductionLine" ma:index="19" nillable="true" ma:displayName="ProductionLine" ma:format="Dropdown" ma:indexed="true" ma:internalName="ProductionLine">
      <xsd:simpleType>
        <xsd:restriction base="dms:Choice">
          <xsd:enumeration value="General"/>
          <xsd:enumeration value="Gillig"/>
          <xsd:enumeration value="Eldorado"/>
          <xsd:enumeration value="EV PDU"/>
          <xsd:enumeration value="EV battery pack"/>
          <xsd:enumeration value="Install"/>
          <xsd:enumeration value="Install-CNG"/>
          <xsd:enumeration value="Install-EV"/>
          <xsd:enumeration value="Install-Ford"/>
          <xsd:enumeration value="FMM"/>
          <xsd:enumeration value="Bus"/>
          <xsd:enumeration value="Refuse"/>
          <xsd:enumeration value="Side mount"/>
          <xsd:enumeration value="Back of cab"/>
          <xsd:enumeration value="Fabrication"/>
          <xsd:enumeration value="Lincoln VS1"/>
          <xsd:enumeration value="Lincoln VS2"/>
          <xsd:enumeration value="Lincoln VS3"/>
          <xsd:enumeration value="Lincoln VS4"/>
          <xsd:enumeration value="Obsolete"/>
          <xsd:enumeration value="Paint"/>
          <xsd:enumeration value="PTS Kit"/>
          <xsd:enumeration value="PTS Engine/Service"/>
          <xsd:enumeration value="PTS System"/>
          <xsd:enumeration value="Maintenance"/>
          <xsd:enumeration value="Materials"/>
          <xsd:enumeration value="Biable"/>
          <xsd:enumeration value="install"/>
        </xsd:restriction>
      </xsd:simpleType>
    </xsd:element>
    <xsd:element name="Request_x0020_Status" ma:index="20" nillable="true" ma:displayName="Request Status" ma:format="Dropdown" ma:internalName="Request_x0020_Status">
      <xsd:simpleType>
        <xsd:restriction base="dms:Choice">
          <xsd:enumeration value="Draft"/>
          <xsd:enumeration value="Approved"/>
        </xsd:restriction>
      </xsd:simpleType>
    </xsd:element>
    <xsd:element name="WorkStation_x002f_Operation" ma:index="22" nillable="true" ma:displayName="WorkStation/Operation" ma:default="" ma:internalName="WorkStation_x002F_Operation">
      <xsd:simpleType>
        <xsd:restriction base="dms:Text">
          <xsd:maxLength value="255"/>
        </xsd:restriction>
      </xsd:simpleType>
    </xsd:element>
    <xsd:element name="Classification" ma:index="23" nillable="true" ma:displayName="Classification" ma:default="Internal-open access" ma:format="Dropdown" ma:internalName="Classification">
      <xsd:simpleType>
        <xsd:restriction base="dms:Choice">
          <xsd:enumeration value="Internal-open access"/>
          <xsd:enumeration value="External-open access"/>
          <xsd:enumeration value="Internal-restricted access"/>
          <xsd:enumeration value="External-restricted access"/>
        </xsd:restriction>
      </xsd:simpleType>
    </xsd:element>
    <xsd:element name="ClassificationGroup" ma:index="24" nillable="true" ma:displayName="ClassificationGroup" ma:default="" ma:internalName="ClassificationGroup" ma:readOnly="false">
      <xsd:simpleType>
        <xsd:restriction base="dms:Text">
          <xsd:maxLength value="255"/>
        </xsd:restriction>
      </xsd:simpleType>
    </xsd:element>
    <xsd:element name="Publishing_x0020_Notification" ma:index="25" nillable="true" ma:displayName="Publishing Notification" ma:internalName="Publishing_x0020_Notification">
      <xsd:simpleType>
        <xsd:restriction base="dms:Note">
          <xsd:maxLength value="255"/>
        </xsd:restriction>
      </xsd:simpleType>
    </xsd:element>
    <xsd:element name="Publish_x0020_to_x0020_PDF" ma:index="26" nillable="true" ma:displayName="Publish to PDF" ma:default="Yes" ma:format="Dropdown" ma:internalName="Publish_x0020_to_x0020_PDF">
      <xsd:simpleType>
        <xsd:restriction base="dms:Choice">
          <xsd:enumeration value="Yes"/>
          <xsd:enumeration value="No"/>
        </xsd:restriction>
      </xsd:simpleType>
    </xsd:element>
    <xsd:element name="Hide_x0020_Document1" ma:index="27" nillable="true" ma:displayName="Hide Document" ma:default="No" ma:format="Dropdown" ma:internalName="Hide_x0020_Document1">
      <xsd:simpleType>
        <xsd:restriction base="dms:Choice">
          <xsd:enumeration value="Yes"/>
          <xsd:enumeration value="No"/>
        </xsd:restriction>
      </xsd:simpleType>
    </xsd:element>
    <xsd:element name="Document_x0020_Notes1" ma:index="28" nillable="true" ma:displayName="Document Notes" ma:default="" ma:internalName="Document_x0020_Notes1">
      <xsd:simpleType>
        <xsd:restriction base="dms:Note">
          <xsd:maxLength value="255"/>
        </xsd:restriction>
      </xsd:simpleType>
    </xsd:element>
    <xsd:element name="Subprocess" ma:index="29" nillable="true" ma:displayName="Subprocess" ma:default="" ma:internalName="Subprocess">
      <xsd:simpleType>
        <xsd:restriction base="dms:Text">
          <xsd:maxLength value="255"/>
        </xsd:restriction>
      </xsd:simpleType>
    </xsd:element>
    <xsd:element name="Submitted_x0020_By" ma:index="30" nillable="true" ma:displayName="Submitted By" ma:default="" ma:internalName="Submitted_x0020_By">
      <xsd:simpleType>
        <xsd:restriction base="dms:Text">
          <xsd:maxLength value="255"/>
        </xsd:restriction>
      </xsd:simpleType>
    </xsd:element>
    <xsd:element name="Approved_x0020_By" ma:index="31" nillable="true" ma:displayName="Approved By" ma:default="" ma:internalName="Approved_x0020_By">
      <xsd:simpleType>
        <xsd:restriction base="dms:Text">
          <xsd:maxLength value="255"/>
        </xsd:restriction>
      </xsd:simpleType>
    </xsd:element>
    <xsd:element name="DocumentType" ma:index="32" nillable="true" ma:displayName="DocumentType" ma:format="Dropdown" ma:internalName="DocumentType">
      <xsd:simpleType>
        <xsd:union memberTypes="dms:Text">
          <xsd:simpleType>
            <xsd:restriction base="dms:Choice">
              <xsd:enumeration value="1-Policy"/>
              <xsd:enumeration value="2-Operating procedure"/>
              <xsd:enumeration value="3-Work instruction"/>
              <xsd:enumeration value="4-Form or template"/>
              <xsd:enumeration value="Specification"/>
            </xsd:restriction>
          </xsd:simpleType>
        </xsd:union>
      </xsd:simpleType>
    </xsd:element>
    <xsd:element name="Approver_x0020_Email" ma:index="33" nillable="true" ma:displayName="Approver Email" ma:default="" ma:internalName="Approver_x0020_Emai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1" nillable="true" ma:displayName="Description" ma:internalName="Category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21" nillable="true" ma:displayName="Revision" ma:internalName="_Revi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1a6911-43a1-4767-8366-41fbd0200516"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8"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_Revision xmlns="http://schemas.microsoft.com/sharepoint/v3/fields" xsi:nil="true"/>
    <DocumentGroup xmlns="28226b7e-f8f9-4954-b420-94509168682d">General</DocumentGroup>
    <Customer xmlns="28226b7e-f8f9-4954-b420-94509168682d">null</Customer>
    <Locations xmlns="28226b7e-f8f9-4954-b420-94509168682d">
      <Value>Agility</Value>
    </Locations>
    <ProductionLine xmlns="28226b7e-f8f9-4954-b420-94509168682d" xsi:nil="true"/>
    <DocumentType xmlns="28226b7e-f8f9-4954-b420-94509168682d">4-Form or template</DocumentType>
    <ProcessName xmlns="28226b7e-f8f9-4954-b420-94509168682d">Product Quality Planning</ProcessName>
    <priorDocNumber xmlns="28226b7e-f8f9-4954-b420-94509168682d" xsi:nil="true"/>
    <Hide_x0020_Document1 xmlns="28226b7e-f8f9-4954-b420-94509168682d">No</Hide_x0020_Document1>
    <Document_x0020_Notes1 xmlns="28226b7e-f8f9-4954-b420-94509168682d" xsi:nil="true"/>
    <ClassificationGroup xmlns="28226b7e-f8f9-4954-b420-94509168682d" xsi:nil="true"/>
    <Request_x0020_Status xmlns="28226b7e-f8f9-4954-b420-94509168682d" xsi:nil="true"/>
    <Approver_x0020_Email xmlns="28226b7e-f8f9-4954-b420-94509168682d" xsi:nil="true"/>
    <CompanyName xmlns="28226b7e-f8f9-4954-b420-94509168682d">Agility</CompanyName>
    <WorkStation_x002f_Operation xmlns="28226b7e-f8f9-4954-b420-94509168682d" xsi:nil="true"/>
    <Publishing_x0020_Notification xmlns="28226b7e-f8f9-4954-b420-94509168682d">Update the .xlsx document on the Hexagon Agility website.</Publishing_x0020_Notification>
    <Subprocess xmlns="28226b7e-f8f9-4954-b420-94509168682d" xsi:nil="true"/>
    <CategoryDescription xmlns="http://schemas.microsoft.com/sharepoint.v3" xsi:nil="true"/>
    <Approved_x0020_By xmlns="28226b7e-f8f9-4954-b420-94509168682d">Dave Albrecht</Approved_x0020_By>
    <DocumentNumber xmlns="28226b7e-f8f9-4954-b420-94509168682d">FT.0140</DocumentNumber>
    <Publish_x0020_to_x0020_PDF xmlns="28226b7e-f8f9-4954-b420-94509168682d">No</Publish_x0020_to_x0020_PDF>
    <Classification xmlns="28226b7e-f8f9-4954-b420-94509168682d">Internal-open access</Classification>
    <Submitted_x0020_By xmlns="28226b7e-f8f9-4954-b420-94509168682d"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file>

<file path=customXml/item7.xml><?xml version="1.0" encoding="utf-8"?>
<ct:contentTypeSchema xmlns:ct="http://schemas.microsoft.com/office/2006/metadata/contentType" xmlns:ma="http://schemas.microsoft.com/office/2006/metadata/properties/metaAttributes" ct:_="" ma:_="" ma:contentTypeName="Hexagon - PDMS Content Type" ma:contentTypeID="0x010100E00B865102ECAC418A8C762207EFB417002944CF8AB1671F46B5FC60CECF50EDE4" ma:contentTypeVersion="365" ma:contentTypeDescription="This content type is used for all PDMS libraries, both internal and external. If you need to make a change to the choices or fields that these libraries use, please update this content type." ma:contentTypeScope="" ma:versionID="81f6845bf44b73abeb18a42e450a2f96">
  <xsd:schema xmlns:xsd="http://www.w3.org/2001/XMLSchema" xmlns:xs="http://www.w3.org/2001/XMLSchema" xmlns:p="http://schemas.microsoft.com/office/2006/metadata/properties" xmlns:ns1="http://schemas.microsoft.com/sharepoint/v3" xmlns:ns2="28226b7e-f8f9-4954-b420-94509168682d" xmlns:ns3="http://schemas.microsoft.com/sharepoint.v3" xmlns:ns4="http://schemas.microsoft.com/sharepoint/v3/fields" xmlns:ns5="51f69271-52a2-4919-927e-7c7af83e2a9d" targetNamespace="http://schemas.microsoft.com/office/2006/metadata/properties" ma:root="true" ma:fieldsID="a4764177e9d130c74fdd4ce47f1690c1" ns1:_="" ns2:_="" ns3:_="" ns4:_="" ns5:_="">
    <xsd:import namespace="http://schemas.microsoft.com/sharepoint/v3"/>
    <xsd:import namespace="28226b7e-f8f9-4954-b420-94509168682d"/>
    <xsd:import namespace="http://schemas.microsoft.com/sharepoint.v3"/>
    <xsd:import namespace="http://schemas.microsoft.com/sharepoint/v3/fields"/>
    <xsd:import namespace="51f69271-52a2-4919-927e-7c7af83e2a9d"/>
    <xsd:element name="properties">
      <xsd:complexType>
        <xsd:sequence>
          <xsd:element name="documentManagement">
            <xsd:complexType>
              <xsd:all>
                <xsd:element ref="ns2:CompanyName" minOccurs="0"/>
                <xsd:element ref="ns2:Customer" minOccurs="0"/>
                <xsd:element ref="ns3:CategoryDescription" minOccurs="0"/>
                <xsd:element ref="ns2:DocumentGroup" minOccurs="0"/>
                <xsd:element ref="ns2:DocumentNumber" minOccurs="0"/>
                <xsd:element ref="ns1:Language" minOccurs="0"/>
                <xsd:element ref="ns2:Locations" minOccurs="0"/>
                <xsd:element ref="ns2:priorDocNumber" minOccurs="0"/>
                <xsd:element ref="ns2:ProcessName" minOccurs="0"/>
                <xsd:element ref="ns2:ProductionLine" minOccurs="0"/>
                <xsd:element ref="ns2:Request_x0020_Status" minOccurs="0"/>
                <xsd:element ref="ns4:_Revision" minOccurs="0"/>
                <xsd:element ref="ns2:WorkStation_x002f_Operation" minOccurs="0"/>
                <xsd:element ref="ns2:Classification" minOccurs="0"/>
                <xsd:element ref="ns2:ClassificationGroup" minOccurs="0"/>
                <xsd:element ref="ns2:Publishing_x0020_Notification" minOccurs="0"/>
                <xsd:element ref="ns2:Publish_x0020_to_x0020_PDF" minOccurs="0"/>
                <xsd:element ref="ns2:Hide_x0020_Document1" minOccurs="0"/>
                <xsd:element ref="ns2:Document_x0020_Notes1" minOccurs="0"/>
                <xsd:element ref="ns2:Subprocess" minOccurs="0"/>
                <xsd:element ref="ns2:Submitted_x0020_By" minOccurs="0"/>
                <xsd:element ref="ns2:Approved_x0020_By" minOccurs="0"/>
                <xsd:element ref="ns2:DocumentType" minOccurs="0"/>
                <xsd:element ref="ns2:Approver_x0020_Email"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5" nillable="true" ma:displayName="Language" ma:default="English" ma:format="Dropdown" ma:internalName="Language" ma:readOnly="false">
      <xsd:simpleType>
        <xsd:restriction base="dms:Choice">
          <xsd:enumeration value="Arabic (Saudi Arabia)"/>
          <xsd:enumeration value="Bulgarian (Bulgaria)"/>
          <xsd:enumeration value="Chinese (Hong Kong S.A.R.)"/>
          <xsd:enumeration value="Chinese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dlc_Exempt" ma:index="34"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226b7e-f8f9-4954-b420-94509168682d" elementFormDefault="qualified">
    <xsd:import namespace="http://schemas.microsoft.com/office/2006/documentManagement/types"/>
    <xsd:import namespace="http://schemas.microsoft.com/office/infopath/2007/PartnerControls"/>
    <xsd:element name="CompanyName" ma:index="9" nillable="true" ma:displayName="CompanyName" ma:format="Dropdown" ma:hidden="true" ma:internalName="CompanyName" ma:readOnly="false">
      <xsd:simpleType>
        <xsd:restriction base="dms:Choice">
          <xsd:enumeration value="Hexagon Group"/>
          <xsd:enumeration value="Agility"/>
          <xsd:enumeration value="Digital Wave"/>
          <xsd:enumeration value="Purus Masterworks"/>
          <xsd:enumeration value="Purus Kassel"/>
          <xsd:enumeration value="Purus"/>
        </xsd:restriction>
      </xsd:simpleType>
    </xsd:element>
    <xsd:element name="Customer" ma:index="10" nillable="true" ma:displayName="Customer" ma:format="Dropdown" ma:internalName="Customer" ma:readOnly="false">
      <xsd:simpleType>
        <xsd:restriction base="dms:Choice">
          <xsd:enumeration value="none"/>
          <xsd:enumeration value="Amazon"/>
          <xsd:enumeration value="Caetano"/>
          <xsd:enumeration value="CAT"/>
          <xsd:enumeration value="Cummins"/>
          <xsd:enumeration value="DINA"/>
          <xsd:enumeration value="DTNA"/>
          <xsd:enumeration value="ElDorado"/>
          <xsd:enumeration value="Elgin"/>
          <xsd:enumeration value="Gillig"/>
          <xsd:enumeration value="GM"/>
          <xsd:enumeration value="Heil"/>
          <xsd:enumeration value="IVECO"/>
          <xsd:enumeration value="Keyou"/>
          <xsd:enumeration value="MAN"/>
          <xsd:enumeration value="MCI"/>
          <xsd:enumeration value="McNeilus"/>
          <xsd:enumeration value="Navistar"/>
          <xsd:enumeration value="New Flyer"/>
          <xsd:enumeration value="Nova Bus"/>
          <xsd:enumeration value="Scania"/>
          <xsd:enumeration value="Solaris"/>
          <xsd:enumeration value="Tico"/>
          <xsd:enumeration value="TMNA"/>
          <xsd:enumeration value="Toyota"/>
          <xsd:enumeration value="UPS"/>
          <xsd:enumeration value="Volkswagen"/>
          <xsd:enumeration value="Volvo"/>
          <xsd:enumeration value="Waste Management"/>
          <xsd:enumeration value="Wright Bus"/>
        </xsd:restriction>
      </xsd:simpleType>
    </xsd:element>
    <xsd:element name="DocumentGroup" ma:index="12" nillable="true" ma:displayName="DocumentGroup" ma:format="Dropdown" ma:internalName="DocumentGroup" ma:readOnly="false">
      <xsd:simpleType>
        <xsd:union memberTypes="dms:Text">
          <xsd:simpleType>
            <xsd:restriction base="dms:Choice">
              <xsd:enumeration value="General"/>
              <xsd:enumeration value="EHS"/>
              <xsd:enumeration value="Quality"/>
              <xsd:enumeration value="Energy"/>
              <xsd:enumeration value="Production"/>
              <xsd:enumeration value="Training"/>
              <xsd:enumeration value="Functional Safety"/>
              <xsd:enumeration value="Other"/>
              <xsd:enumeration value="Engineering"/>
              <xsd:enumeration value="Customer Service"/>
              <xsd:enumeration value="ERP"/>
              <xsd:enumeration value="Obsolete"/>
              <xsd:enumeration value="Human Resources"/>
            </xsd:restriction>
          </xsd:simpleType>
        </xsd:union>
      </xsd:simpleType>
    </xsd:element>
    <xsd:element name="DocumentNumber" ma:index="13" nillable="true" ma:displayName="DocumentNumber" ma:default="" ma:indexed="true" ma:internalName="DocumentNumber">
      <xsd:simpleType>
        <xsd:restriction base="dms:Text">
          <xsd:maxLength value="255"/>
        </xsd:restriction>
      </xsd:simpleType>
    </xsd:element>
    <xsd:element name="Locations" ma:index="16" nillable="true" ma:displayName="Locations" ma:internalName="Locations" ma:readOnly="false">
      <xsd:complexType>
        <xsd:complexContent>
          <xsd:extension base="dms:MultiChoice">
            <xsd:sequence>
              <xsd:element name="Value" maxOccurs="unbounded" minOccurs="0" nillable="true">
                <xsd:simpleType>
                  <xsd:restriction base="dms:Choice">
                    <xsd:enumeration value="Hexagon Group"/>
                    <xsd:enumeration value="Ålesund"/>
                    <xsd:enumeration value="Oslo"/>
                    <xsd:enumeration value="USA Holdings"/>
                    <xsd:enumeration value="Digital Wave"/>
                    <xsd:enumeration value="Centennial"/>
                    <xsd:enumeration value="Agility"/>
                    <xsd:enumeration value="Costa Mesa"/>
                    <xsd:enumeration value="Fontana"/>
                    <xsd:enumeration value="Kassel"/>
                    <xsd:enumeration value="Kelowna-Agility"/>
                    <xsd:enumeration value="Lincoln"/>
                    <xsd:enumeration value="Main Street"/>
                    <xsd:enumeration value="Rialto"/>
                    <xsd:enumeration value="Salisbury"/>
                    <xsd:enumeration value="UK"/>
                    <xsd:enumeration value="Purus"/>
                    <xsd:enumeration value="Purus Systems"/>
                    <xsd:enumeration value="Dallas"/>
                    <xsd:enumeration value="Kelowna-Purus"/>
                    <xsd:enumeration value="Ontario"/>
                    <xsd:enumeration value="Purus Maritime"/>
                  </xsd:restriction>
                </xsd:simpleType>
              </xsd:element>
            </xsd:sequence>
          </xsd:extension>
        </xsd:complexContent>
      </xsd:complexType>
    </xsd:element>
    <xsd:element name="priorDocNumber" ma:index="17" nillable="true" ma:displayName="priorDocNumber" ma:default="" ma:internalName="priorDocNumber" ma:readOnly="false">
      <xsd:simpleType>
        <xsd:restriction base="dms:Text">
          <xsd:maxLength value="255"/>
        </xsd:restriction>
      </xsd:simpleType>
    </xsd:element>
    <xsd:element name="ProcessName" ma:index="18" nillable="true" ma:displayName="Process" ma:format="Dropdown" ma:internalName="ProcessName" ma:readOnly="false">
      <xsd:simpleType>
        <xsd:restriction base="dms:Choice">
          <xsd:enumeration value="Quoting"/>
          <xsd:enumeration value="Order Entry"/>
          <xsd:enumeration value="Project Management"/>
          <xsd:enumeration value="Project Planning"/>
          <xsd:enumeration value="Product Design"/>
          <xsd:enumeration value="Product Validation"/>
          <xsd:enumeration value="Manufacturing Design"/>
          <xsd:enumeration value="Manufacturing Validation"/>
          <xsd:enumeration value="Production Planning"/>
          <xsd:enumeration value="Purchasing"/>
          <xsd:enumeration value="Receiving"/>
          <xsd:enumeration value="Inventory Management"/>
          <xsd:enumeration value="Production"/>
          <xsd:enumeration value="Nonconforming Material Control"/>
          <xsd:enumeration value="Shipping"/>
          <xsd:enumeration value="Accounts Receivable"/>
          <xsd:enumeration value="Accounts Payable"/>
          <xsd:enumeration value="Customer/Field Support"/>
          <xsd:enumeration value="Employee Involvement"/>
          <xsd:enumeration value="Internal Audit"/>
          <xsd:enumeration value="Corrective/Preventive Action"/>
          <xsd:enumeration value="Continuous Improvement"/>
          <xsd:enumeration value="Accounting"/>
          <xsd:enumeration value="Supplier Performance Evaluation"/>
          <xsd:enumeration value="Management Review"/>
          <xsd:enumeration value="Management System Planning"/>
          <xsd:enumeration value="Personnel and Training"/>
          <xsd:enumeration value="EHS"/>
          <xsd:enumeration value="Calibration"/>
          <xsd:enumeration value="Information Technology"/>
          <xsd:enumeration value="Equipment Maintenance &amp; Facility Management"/>
          <xsd:enumeration value="Management System"/>
          <xsd:enumeration value="Product Quality Planning"/>
          <xsd:enumeration value="Legal"/>
          <xsd:enumeration value="Change Management"/>
          <xsd:enumeration value="Governance"/>
          <xsd:enumeration value="Communication"/>
          <xsd:enumeration value="Document &amp; Record Control"/>
          <xsd:enumeration value="Customer Satisfaction"/>
          <xsd:enumeration value="Analysis and Evaluation"/>
          <xsd:enumeration value="Customer Service Planning"/>
          <xsd:enumeration value="Customer Service"/>
        </xsd:restriction>
      </xsd:simpleType>
    </xsd:element>
    <xsd:element name="ProductionLine" ma:index="19" nillable="true" ma:displayName="ProductionLine" ma:format="Dropdown" ma:internalName="ProductionLine" ma:readOnly="false">
      <xsd:simpleType>
        <xsd:restriction base="dms:Choice">
          <xsd:enumeration value="General"/>
          <xsd:enumeration value="Gillig"/>
          <xsd:enumeration value="Eldorado"/>
          <xsd:enumeration value="EV PDU"/>
          <xsd:enumeration value="EV battery pack"/>
          <xsd:enumeration value="Install"/>
          <xsd:enumeration value="Install-CNG"/>
          <xsd:enumeration value="Install-EV"/>
          <xsd:enumeration value="Install-Ford"/>
          <xsd:enumeration value="FMM"/>
          <xsd:enumeration value="Bus"/>
          <xsd:enumeration value="Refuse"/>
          <xsd:enumeration value="Side mount"/>
          <xsd:enumeration value="Back of cab"/>
          <xsd:enumeration value="Fabrication"/>
          <xsd:enumeration value="Lincoln VS1"/>
          <xsd:enumeration value="Lincoln VS2"/>
          <xsd:enumeration value="Lincoln VS3"/>
          <xsd:enumeration value="Lincoln VS4"/>
          <xsd:enumeration value="Obsolete"/>
          <xsd:enumeration value="Paint"/>
          <xsd:enumeration value="PTS Kit"/>
          <xsd:enumeration value="PTS Engine/Service"/>
          <xsd:enumeration value="PTS System"/>
          <xsd:enumeration value="Maintenance"/>
          <xsd:enumeration value="Materials"/>
          <xsd:enumeration value="Biable"/>
          <xsd:enumeration value="install"/>
          <xsd:enumeration value="None"/>
        </xsd:restriction>
      </xsd:simpleType>
    </xsd:element>
    <xsd:element name="Request_x0020_Status" ma:index="20" nillable="true" ma:displayName="Request Status" ma:format="Dropdown" ma:hidden="true" ma:internalName="Request_x0020_Status" ma:readOnly="false">
      <xsd:simpleType>
        <xsd:restriction base="dms:Choice">
          <xsd:enumeration value="Draft"/>
          <xsd:enumeration value="Approved"/>
        </xsd:restriction>
      </xsd:simpleType>
    </xsd:element>
    <xsd:element name="WorkStation_x002f_Operation" ma:index="22" nillable="true" ma:displayName="WorkStation/Operation" ma:default="" ma:internalName="WorkStation_x002F_Operation" ma:readOnly="false">
      <xsd:simpleType>
        <xsd:restriction base="dms:Text">
          <xsd:maxLength value="255"/>
        </xsd:restriction>
      </xsd:simpleType>
    </xsd:element>
    <xsd:element name="Classification" ma:index="23" nillable="true" ma:displayName="Classification" ma:default="Internal-open access" ma:format="Dropdown" ma:internalName="Classification" ma:readOnly="false">
      <xsd:simpleType>
        <xsd:restriction base="dms:Choice">
          <xsd:enumeration value="Internal-open access"/>
          <xsd:enumeration value="External-open access"/>
          <xsd:enumeration value="Internal-restricted access"/>
          <xsd:enumeration value="External-restricted access"/>
        </xsd:restriction>
      </xsd:simpleType>
    </xsd:element>
    <xsd:element name="ClassificationGroup" ma:index="24" nillable="true" ma:displayName="ClassificationGroup" ma:default="" ma:internalName="ClassificationGroup" ma:readOnly="false">
      <xsd:simpleType>
        <xsd:restriction base="dms:Text">
          <xsd:maxLength value="255"/>
        </xsd:restriction>
      </xsd:simpleType>
    </xsd:element>
    <xsd:element name="Publishing_x0020_Notification" ma:index="25" nillable="true" ma:displayName="Publishing Notification" ma:internalName="Publishing_x0020_Notification" ma:readOnly="false">
      <xsd:simpleType>
        <xsd:restriction base="dms:Note">
          <xsd:maxLength value="255"/>
        </xsd:restriction>
      </xsd:simpleType>
    </xsd:element>
    <xsd:element name="Publish_x0020_to_x0020_PDF" ma:index="26" nillable="true" ma:displayName="Publish to PDF" ma:default="Yes" ma:format="Dropdown" ma:internalName="Publish_x0020_to_x0020_PDF" ma:readOnly="false">
      <xsd:simpleType>
        <xsd:restriction base="dms:Choice">
          <xsd:enumeration value="Yes"/>
          <xsd:enumeration value="No"/>
        </xsd:restriction>
      </xsd:simpleType>
    </xsd:element>
    <xsd:element name="Hide_x0020_Document1" ma:index="27" nillable="true" ma:displayName="Hide Document" ma:default="No" ma:format="Dropdown" ma:indexed="true" ma:internalName="Hide_x0020_Document1">
      <xsd:simpleType>
        <xsd:restriction base="dms:Choice">
          <xsd:enumeration value="Yes"/>
          <xsd:enumeration value="No"/>
        </xsd:restriction>
      </xsd:simpleType>
    </xsd:element>
    <xsd:element name="Document_x0020_Notes1" ma:index="28" nillable="true" ma:displayName="Document Notes" ma:default="" ma:internalName="Document_x0020_Notes1" ma:readOnly="false">
      <xsd:simpleType>
        <xsd:restriction base="dms:Note">
          <xsd:maxLength value="255"/>
        </xsd:restriction>
      </xsd:simpleType>
    </xsd:element>
    <xsd:element name="Subprocess" ma:index="29" nillable="true" ma:displayName="Subprocess" ma:default="" ma:internalName="Subprocess" ma:readOnly="false">
      <xsd:simpleType>
        <xsd:restriction base="dms:Text">
          <xsd:maxLength value="255"/>
        </xsd:restriction>
      </xsd:simpleType>
    </xsd:element>
    <xsd:element name="Submitted_x0020_By" ma:index="30" nillable="true" ma:displayName="Submitted By" ma:default="" ma:hidden="true" ma:internalName="Submitted_x0020_By" ma:readOnly="false">
      <xsd:simpleType>
        <xsd:restriction base="dms:Text">
          <xsd:maxLength value="255"/>
        </xsd:restriction>
      </xsd:simpleType>
    </xsd:element>
    <xsd:element name="Approved_x0020_By" ma:index="31" nillable="true" ma:displayName="Approved By" ma:default="" ma:hidden="true" ma:internalName="Approved_x0020_By" ma:readOnly="false">
      <xsd:simpleType>
        <xsd:restriction base="dms:Text">
          <xsd:maxLength value="255"/>
        </xsd:restriction>
      </xsd:simpleType>
    </xsd:element>
    <xsd:element name="DocumentType" ma:index="32" nillable="true" ma:displayName="DocumentType" ma:format="Dropdown" ma:internalName="DocumentType" ma:readOnly="false">
      <xsd:simpleType>
        <xsd:restriction base="dms:Choice">
          <xsd:enumeration value="1-Policy"/>
          <xsd:enumeration value="2-Operating procedure"/>
          <xsd:enumeration value="3-Work instruction"/>
          <xsd:enumeration value="4-Form or template"/>
          <xsd:enumeration value="Specification"/>
        </xsd:restriction>
      </xsd:simpleType>
    </xsd:element>
    <xsd:element name="Approver_x0020_Email" ma:index="33" nillable="true" ma:displayName="Approver Email" ma:default="" ma:hidden="true" ma:internalName="Approver_x0020_Email"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11" nillable="true" ma:displayName="Description" ma:hidden="true" ma:internalName="CategoryDescrip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21" nillable="true" ma:displayName="Revision" ma:internalName="_Revi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f69271-52a2-4919-927e-7c7af83e2a9d" elementFormDefault="qualified">
    <xsd:import namespace="http://schemas.microsoft.com/office/2006/documentManagement/types"/>
    <xsd:import namespace="http://schemas.microsoft.com/office/infopath/2007/PartnerControls"/>
    <xsd:element name="DLCPolicyLabelValue" ma:index="35"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6"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7"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4" ma:displayName="Title"/>
        <xsd:element ref="dc:subject" minOccurs="0" maxOccurs="1"/>
        <xsd:element ref="dc:description" minOccurs="0" maxOccurs="1"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478DBD-12D1-4BFB-82D9-5C7459553633}">
  <ds:schemaRefs>
    <ds:schemaRef ds:uri="http://schemas.microsoft.com/office/2006/metadata/longProperties"/>
  </ds:schemaRefs>
</ds:datastoreItem>
</file>

<file path=customXml/itemProps2.xml><?xml version="1.0" encoding="utf-8"?>
<ds:datastoreItem xmlns:ds="http://schemas.openxmlformats.org/officeDocument/2006/customXml" ds:itemID="{F87CF117-56FD-407A-9173-6183A9BA1A1A}">
  <ds:schemaRefs>
    <ds:schemaRef ds:uri="Microsoft.SharePoint.Taxonomy.ContentTypeSync"/>
  </ds:schemaRefs>
</ds:datastoreItem>
</file>

<file path=customXml/itemProps3.xml><?xml version="1.0" encoding="utf-8"?>
<ds:datastoreItem xmlns:ds="http://schemas.openxmlformats.org/officeDocument/2006/customXml" ds:itemID="{A8966BBD-B231-4B68-B605-CE337145C356}"/>
</file>

<file path=customXml/itemProps4.xml><?xml version="1.0" encoding="utf-8"?>
<ds:datastoreItem xmlns:ds="http://schemas.openxmlformats.org/officeDocument/2006/customXml" ds:itemID="{7B1586A2-0947-4013-AE9D-9AA8B4DD0210}">
  <ds:schemaRefs>
    <ds:schemaRef ds:uri="51f69271-52a2-4919-927e-7c7af83e2a9d"/>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fields"/>
    <ds:schemaRef ds:uri="http://schemas.microsoft.com/sharepoint.v3"/>
    <ds:schemaRef ds:uri="http://purl.org/dc/elements/1.1/"/>
    <ds:schemaRef ds:uri="http://schemas.microsoft.com/office/2006/metadata/properties"/>
    <ds:schemaRef ds:uri="28226b7e-f8f9-4954-b420-94509168682d"/>
    <ds:schemaRef ds:uri="http://www.w3.org/XML/1998/namespace"/>
    <ds:schemaRef ds:uri="http://purl.org/dc/dcmitype/"/>
  </ds:schemaRefs>
</ds:datastoreItem>
</file>

<file path=customXml/itemProps5.xml><?xml version="1.0" encoding="utf-8"?>
<ds:datastoreItem xmlns:ds="http://schemas.openxmlformats.org/officeDocument/2006/customXml" ds:itemID="{2D33303C-E4E4-4BC6-A231-D1952C06F44A}">
  <ds:schemaRefs>
    <ds:schemaRef ds:uri="http://schemas.microsoft.com/sharepoint/v3/contenttype/forms"/>
  </ds:schemaRefs>
</ds:datastoreItem>
</file>

<file path=customXml/itemProps6.xml><?xml version="1.0" encoding="utf-8"?>
<ds:datastoreItem xmlns:ds="http://schemas.openxmlformats.org/officeDocument/2006/customXml" ds:itemID="{1C802D0B-6CD0-4C8D-A815-A0D3F5CA14C0}">
  <ds:schemaRefs>
    <ds:schemaRef ds:uri="http://schemas.microsoft.com/sharepoint/events"/>
  </ds:schemaRefs>
</ds:datastoreItem>
</file>

<file path=customXml/itemProps7.xml><?xml version="1.0" encoding="utf-8"?>
<ds:datastoreItem xmlns:ds="http://schemas.openxmlformats.org/officeDocument/2006/customXml" ds:itemID="{8AFC5C95-8C90-4CD7-B790-467A9BA23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8226b7e-f8f9-4954-b420-94509168682d"/>
    <ds:schemaRef ds:uri="http://schemas.microsoft.com/sharepoint.v3"/>
    <ds:schemaRef ds:uri="http://schemas.microsoft.com/sharepoint/v3/fields"/>
    <ds:schemaRef ds:uri="51f69271-52a2-4919-927e-7c7af83e2a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22</vt:i4>
      </vt:variant>
    </vt:vector>
  </HeadingPairs>
  <TitlesOfParts>
    <vt:vector size="59" baseType="lpstr">
      <vt:lpstr>Header Info</vt:lpstr>
      <vt:lpstr>PPAP Requirements</vt:lpstr>
      <vt:lpstr>Submission Ref Guide</vt:lpstr>
      <vt:lpstr>Truck PSW</vt:lpstr>
      <vt:lpstr>1.  Design Records</vt:lpstr>
      <vt:lpstr>2.  Auth Eng Change Docs</vt:lpstr>
      <vt:lpstr>3. Agility Eng Approval</vt:lpstr>
      <vt:lpstr>4. DFMEA</vt:lpstr>
      <vt:lpstr>4. DFMEA Ranking</vt:lpstr>
      <vt:lpstr>5. Process Flow</vt:lpstr>
      <vt:lpstr>6. PFMEA</vt:lpstr>
      <vt:lpstr>6. PFMEA Ranking</vt:lpstr>
      <vt:lpstr>7. Control Plan</vt:lpstr>
      <vt:lpstr>8. GR&amp;R Summary</vt:lpstr>
      <vt:lpstr>8A. ATT BIAS(Analytic)</vt:lpstr>
      <vt:lpstr>8A. Graph</vt:lpstr>
      <vt:lpstr>8B. GR&amp;R ATT(Hyp)</vt:lpstr>
      <vt:lpstr>8C. GR&amp;R VAR(TV)</vt:lpstr>
      <vt:lpstr>8D. GR&amp;R VAR(Tol)</vt:lpstr>
      <vt:lpstr>8E. GR&amp;R ANOVA</vt:lpstr>
      <vt:lpstr>8E. GR&amp;R Graphical</vt:lpstr>
      <vt:lpstr>8F. GR&amp;R X&amp;R </vt:lpstr>
      <vt:lpstr>8G. Gage R</vt:lpstr>
      <vt:lpstr>9. Dimensional Results</vt:lpstr>
      <vt:lpstr>10-1. Material Test Results</vt:lpstr>
      <vt:lpstr>10-2. Performance Test Results</vt:lpstr>
      <vt:lpstr>11. Initial Process Studies</vt:lpstr>
      <vt:lpstr>12.  Qualified Lab</vt:lpstr>
      <vt:lpstr>13. Appearance Approval</vt:lpstr>
      <vt:lpstr>14. Sample Production Parts</vt:lpstr>
      <vt:lpstr>15.  Master Samples</vt:lpstr>
      <vt:lpstr>16. Checking Aids</vt:lpstr>
      <vt:lpstr>17. Customer Specific Req</vt:lpstr>
      <vt:lpstr>FILE REV</vt:lpstr>
      <vt:lpstr>AIAG REF REV</vt:lpstr>
      <vt:lpstr>BM REQ</vt:lpstr>
      <vt:lpstr>BM INT</vt:lpstr>
      <vt:lpstr>'13. Appearance Approval'!Print_Area</vt:lpstr>
      <vt:lpstr>'8A. ATT BIAS(Analytic)'!Print_Area</vt:lpstr>
      <vt:lpstr>'8B. GR&amp;R ATT(Hyp)'!Print_Area</vt:lpstr>
      <vt:lpstr>'8E. GR&amp;R ANOVA'!Print_Area</vt:lpstr>
      <vt:lpstr>'8E. GR&amp;R Graphical'!Print_Area</vt:lpstr>
      <vt:lpstr>'8F. GR&amp;R X&amp;R '!Print_Area</vt:lpstr>
      <vt:lpstr>'8G. Gage R'!Print_Area</vt:lpstr>
      <vt:lpstr>'Header Info'!Print_Area</vt:lpstr>
      <vt:lpstr>'PPAP Requirements'!Print_Area</vt:lpstr>
      <vt:lpstr>'Submission Ref Guide'!Print_Area</vt:lpstr>
      <vt:lpstr>'Truck PSW'!Print_Area</vt:lpstr>
      <vt:lpstr>'10-1. Material Test Results'!Print_Titles</vt:lpstr>
      <vt:lpstr>'10-2. Performance Test Results'!Print_Titles</vt:lpstr>
      <vt:lpstr>'4. DFMEA'!Print_Titles</vt:lpstr>
      <vt:lpstr>'5. Process Flow'!Print_Titles</vt:lpstr>
      <vt:lpstr>'6. PFMEA'!Print_Titles</vt:lpstr>
      <vt:lpstr>'7. Control Plan'!Print_Titles</vt:lpstr>
      <vt:lpstr>'8B. GR&amp;R ATT(Hyp)'!Print_Titles</vt:lpstr>
      <vt:lpstr>'8E. GR&amp;R ANOVA'!Print_Titles</vt:lpstr>
      <vt:lpstr>'8E. GR&amp;R Graphical'!Print_Titles</vt:lpstr>
      <vt:lpstr>'8F. GR&amp;R X&amp;R '!Print_Titles</vt:lpstr>
      <vt:lpstr>'9. Dimensional Results'!Print_Titles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PPAP Templates</dc:title>
  <dc:creator>dave.albrecht@hexagongroup.com</dc:creator>
  <cp:keywords/>
  <dc:description>6.0</dc:description>
  <cp:lastModifiedBy>Dave Albrecht</cp:lastModifiedBy>
  <cp:lastPrinted>2023-12-21T18:42:10Z</cp:lastPrinted>
  <dcterms:created xsi:type="dcterms:W3CDTF">1999-08-04T22:09:04Z</dcterms:created>
  <dcterms:modified xsi:type="dcterms:W3CDTF">2026-03-27T14:41:17Z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CPolicyLabelValue">
    <vt:lpwstr>4.0</vt:lpwstr>
  </property>
  <property fmtid="{D5CDD505-2E9C-101B-9397-08002B2CF9AE}" pid="3" name="display_urn:schemas-microsoft-com:office:office#ReportOwner">
    <vt:lpwstr>Dave Albrecht</vt:lpwstr>
  </property>
  <property fmtid="{D5CDD505-2E9C-101B-9397-08002B2CF9AE}" pid="4" name="display_urn:schemas-microsoft-com:office:office#Editor">
    <vt:lpwstr>Rose Diller</vt:lpwstr>
  </property>
  <property fmtid="{D5CDD505-2E9C-101B-9397-08002B2CF9AE}" pid="5" name="display_urn:schemas-microsoft-com:office:office#SharedWithUsers">
    <vt:lpwstr>Document Editors;Document Approvers;Management System Visitors;8D contributors</vt:lpwstr>
  </property>
  <property fmtid="{D5CDD505-2E9C-101B-9397-08002B2CF9AE}" pid="6" name="SharedWithUsers">
    <vt:lpwstr>32;#Management System Visitors</vt:lpwstr>
  </property>
  <property fmtid="{D5CDD505-2E9C-101B-9397-08002B2CF9AE}" pid="7" name="display_urn:schemas-microsoft-com:office:office#Author">
    <vt:lpwstr>Rose Diller</vt:lpwstr>
  </property>
  <property fmtid="{D5CDD505-2E9C-101B-9397-08002B2CF9AE}" pid="8" name="ContentTypeId">
    <vt:lpwstr>0x010100E00B865102ECAC418A8C762207EFB417003BD206B21B842745AF8B7E4D99D35434</vt:lpwstr>
  </property>
  <property fmtid="{D5CDD505-2E9C-101B-9397-08002B2CF9AE}" pid="9" name="_Version">
    <vt:lpwstr>6.0</vt:lpwstr>
  </property>
</Properties>
</file>